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danielprgr\AppData\Local\Microsoft\Windows\INetCache\Content.Outlook\FY528PU1\"/>
    </mc:Choice>
  </mc:AlternateContent>
  <workbookProtection workbookAlgorithmName="SHA-512" workbookHashValue="3TqI/q+JjPwNiVAW7JNCao5bPrJ9xdK+xOwgw/y52Ga1sKqRl553h9+G7o5bN1phAK+TWo31ZyDB/RHFz7kPCQ==" workbookSaltValue="pZGnDS2mISqTUakTi2Go4A==" workbookSpinCount="100000" lockStructure="1"/>
  <bookViews>
    <workbookView xWindow="0" yWindow="0" windowWidth="20490" windowHeight="7770" tabRatio="792"/>
  </bookViews>
  <sheets>
    <sheet name="BIENVENIDOS" sheetId="7" r:id="rId1"/>
    <sheet name="FORMULARIO" sheetId="8" r:id="rId2"/>
    <sheet name="INGREDIENTES" sheetId="1" state="hidden" r:id="rId3"/>
    <sheet name="ANÁLISIS" sheetId="2" state="hidden" r:id="rId4"/>
    <sheet name="APORTE NUTRICIONAL" sheetId="3" state="hidden" r:id="rId5"/>
    <sheet name="EJEMPLO DE RECETAS Y PROCESO" sheetId="6" state="hidden" r:id="rId6"/>
    <sheet name="EJEMPLO RECETA DESAYUNO" sheetId="4" state="hidden" r:id="rId7"/>
    <sheet name="APORTE NUTRICIONAL EJ. DESAYUNO" sheetId="5" state="hidden" r:id="rId8"/>
  </sheets>
  <definedNames>
    <definedName name="_xlnm._FilterDatabase" localSheetId="2" hidden="1">INGREDIENTES!$D$6:$Q$6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8" i="1" l="1"/>
  <c r="V9" i="1"/>
  <c r="V10" i="1"/>
  <c r="V11" i="1"/>
  <c r="V12" i="1"/>
  <c r="V13" i="1"/>
  <c r="V14" i="1"/>
  <c r="V15" i="1"/>
  <c r="V16" i="1"/>
  <c r="V17" i="1"/>
  <c r="V18" i="1"/>
  <c r="V19" i="1"/>
  <c r="V20" i="1"/>
  <c r="V21" i="1"/>
  <c r="V22" i="1"/>
  <c r="V23" i="1"/>
  <c r="U11" i="1"/>
  <c r="T10" i="1"/>
  <c r="U8" i="1"/>
  <c r="U9" i="1"/>
  <c r="U10" i="1"/>
  <c r="U12" i="1"/>
  <c r="U13" i="1"/>
  <c r="U14" i="1"/>
  <c r="U15" i="1"/>
  <c r="U16" i="1"/>
  <c r="U17" i="1"/>
  <c r="U18" i="1"/>
  <c r="U19" i="1"/>
  <c r="U20" i="1"/>
  <c r="U21" i="1"/>
  <c r="U22" i="1"/>
  <c r="U23" i="1"/>
  <c r="T22" i="1"/>
  <c r="T21" i="1"/>
  <c r="T20" i="1"/>
  <c r="T19" i="1"/>
  <c r="T18" i="1"/>
  <c r="T17" i="1"/>
  <c r="T16" i="1"/>
  <c r="T15" i="1"/>
  <c r="T14" i="1"/>
  <c r="T13" i="1"/>
  <c r="T12" i="1"/>
  <c r="T11" i="1"/>
  <c r="T9" i="1"/>
  <c r="T8" i="1"/>
  <c r="T7" i="1"/>
  <c r="B11" i="8" l="1"/>
  <c r="B10" i="2" s="1"/>
  <c r="B10" i="8"/>
  <c r="B9" i="2" s="1"/>
  <c r="C7" i="3" s="1"/>
  <c r="B9" i="8"/>
  <c r="B8" i="2" s="1"/>
  <c r="C18" i="3"/>
  <c r="C28" i="3"/>
  <c r="F28" i="3" s="1"/>
  <c r="C29" i="3"/>
  <c r="I29" i="3" s="1"/>
  <c r="C30" i="3"/>
  <c r="C31" i="3"/>
  <c r="F30" i="3"/>
  <c r="B11" i="2"/>
  <c r="I11" i="2" s="1"/>
  <c r="B12" i="2"/>
  <c r="I12" i="2" s="1"/>
  <c r="B13" i="2"/>
  <c r="C11" i="3" s="1"/>
  <c r="B14" i="2"/>
  <c r="C12" i="3" s="1"/>
  <c r="B15" i="2"/>
  <c r="C13" i="3" s="1"/>
  <c r="B16" i="2"/>
  <c r="I16" i="2" s="1"/>
  <c r="B17" i="2"/>
  <c r="C15" i="3" s="1"/>
  <c r="B18" i="2"/>
  <c r="C16" i="3" s="1"/>
  <c r="B19" i="2"/>
  <c r="I19" i="2" s="1"/>
  <c r="B20" i="2"/>
  <c r="I20" i="2" s="1"/>
  <c r="B21" i="2"/>
  <c r="C19" i="3" s="1"/>
  <c r="B22" i="2"/>
  <c r="C20" i="3" s="1"/>
  <c r="F20" i="3" s="1"/>
  <c r="B23" i="2"/>
  <c r="B24" i="2"/>
  <c r="I24" i="2" s="1"/>
  <c r="B25" i="2"/>
  <c r="C23" i="3" s="1"/>
  <c r="S23" i="3" s="1"/>
  <c r="B26" i="2"/>
  <c r="I26" i="2" s="1"/>
  <c r="B27" i="2"/>
  <c r="C25" i="3" s="1"/>
  <c r="B28" i="2"/>
  <c r="C26" i="3" s="1"/>
  <c r="B29" i="2"/>
  <c r="C27" i="3" s="1"/>
  <c r="S27" i="3" s="1"/>
  <c r="E28" i="8"/>
  <c r="E29" i="8"/>
  <c r="E31" i="8"/>
  <c r="V28" i="3"/>
  <c r="F29" i="3"/>
  <c r="S30" i="3"/>
  <c r="I15" i="2"/>
  <c r="I27" i="2"/>
  <c r="C22" i="3" l="1"/>
  <c r="C24" i="3"/>
  <c r="I22" i="2"/>
  <c r="C10" i="3"/>
  <c r="I18" i="2"/>
  <c r="C14" i="3"/>
  <c r="I14" i="2"/>
  <c r="I13" i="2"/>
  <c r="I21" i="2"/>
  <c r="I17" i="2"/>
  <c r="C17" i="3"/>
  <c r="C9" i="3"/>
  <c r="V9" i="3" s="1"/>
  <c r="I9" i="2"/>
  <c r="C8" i="3"/>
  <c r="C21" i="3"/>
  <c r="V29" i="3"/>
  <c r="S29" i="3"/>
  <c r="S28" i="3"/>
  <c r="S31" i="3"/>
  <c r="I30" i="3"/>
  <c r="L30" i="3"/>
  <c r="V30" i="3"/>
  <c r="I23" i="2"/>
  <c r="I29" i="2"/>
  <c r="S20" i="3"/>
  <c r="I10" i="2"/>
  <c r="I28" i="2"/>
  <c r="V25" i="3"/>
  <c r="L26" i="3"/>
  <c r="F26" i="3"/>
  <c r="I26" i="3"/>
  <c r="V26" i="3"/>
  <c r="S26" i="3"/>
  <c r="I25" i="3"/>
  <c r="S24" i="3"/>
  <c r="S25" i="3"/>
  <c r="V24" i="3"/>
  <c r="F25" i="3"/>
  <c r="F24" i="3"/>
  <c r="V20" i="3"/>
  <c r="V31" i="3"/>
  <c r="F31" i="3"/>
  <c r="L29" i="3"/>
  <c r="I28" i="3"/>
  <c r="V27" i="3"/>
  <c r="F27" i="3"/>
  <c r="L25" i="3"/>
  <c r="I24" i="3"/>
  <c r="V23" i="3"/>
  <c r="F23" i="3"/>
  <c r="I20" i="3"/>
  <c r="I31" i="3"/>
  <c r="L28" i="3"/>
  <c r="I27" i="3"/>
  <c r="L24" i="3"/>
  <c r="I23" i="3"/>
  <c r="L20" i="3"/>
  <c r="L31" i="3"/>
  <c r="L27" i="3"/>
  <c r="L23" i="3"/>
  <c r="V21" i="3" l="1"/>
  <c r="F21" i="3"/>
  <c r="S21" i="3"/>
  <c r="L21" i="3"/>
  <c r="I21" i="3"/>
  <c r="O30" i="3"/>
  <c r="O26" i="3"/>
  <c r="F22" i="3"/>
  <c r="V22" i="3"/>
  <c r="L22" i="3"/>
  <c r="I22" i="3"/>
  <c r="S22" i="3"/>
  <c r="O24" i="3"/>
  <c r="O20" i="3"/>
  <c r="O31" i="3"/>
  <c r="O27" i="3"/>
  <c r="O28" i="3"/>
  <c r="O23" i="3"/>
  <c r="O29" i="3"/>
  <c r="O25" i="3"/>
  <c r="O21" i="3" l="1"/>
  <c r="O22" i="3"/>
  <c r="C9" i="2" l="1"/>
  <c r="C10" i="2"/>
  <c r="C11" i="2"/>
  <c r="C12" i="2"/>
  <c r="C13" i="2"/>
  <c r="C14" i="2"/>
  <c r="C15" i="2"/>
  <c r="C16" i="2"/>
  <c r="C17" i="2"/>
  <c r="C18" i="2"/>
  <c r="C19" i="2"/>
  <c r="C20" i="2"/>
  <c r="C21" i="2"/>
  <c r="C22" i="2"/>
  <c r="C23" i="2"/>
  <c r="C24" i="2"/>
  <c r="C25" i="2"/>
  <c r="C26" i="2"/>
  <c r="C27" i="2"/>
  <c r="C28" i="2"/>
  <c r="C29" i="2"/>
  <c r="B4" i="2"/>
  <c r="F4" i="2"/>
  <c r="H17" i="1" l="1"/>
  <c r="G43" i="1"/>
  <c r="G41" i="1"/>
  <c r="G29" i="1"/>
  <c r="E9" i="8"/>
  <c r="E10" i="8"/>
  <c r="E11" i="8"/>
  <c r="E12" i="8"/>
  <c r="E13" i="8"/>
  <c r="E14" i="8"/>
  <c r="E15" i="8"/>
  <c r="E16" i="8"/>
  <c r="E17" i="8"/>
  <c r="E18" i="8"/>
  <c r="E19" i="8"/>
  <c r="G39" i="6"/>
  <c r="G40" i="6"/>
  <c r="G41" i="6"/>
  <c r="G42" i="6"/>
  <c r="G43" i="6"/>
  <c r="G44" i="6"/>
  <c r="G45" i="6"/>
  <c r="G46" i="6"/>
  <c r="G47" i="6"/>
  <c r="G48" i="6"/>
  <c r="G38" i="6"/>
  <c r="E39" i="6"/>
  <c r="E40" i="6"/>
  <c r="E41" i="6"/>
  <c r="E42" i="6"/>
  <c r="E43" i="6"/>
  <c r="E44" i="6"/>
  <c r="E45" i="6"/>
  <c r="E46" i="6"/>
  <c r="E47" i="6"/>
  <c r="E48" i="6"/>
  <c r="E38" i="6"/>
  <c r="G14" i="6"/>
  <c r="G15" i="6"/>
  <c r="G16" i="6"/>
  <c r="G17" i="6"/>
  <c r="G18" i="6"/>
  <c r="G19" i="6"/>
  <c r="G20" i="6"/>
  <c r="G21" i="6"/>
  <c r="G13" i="6"/>
  <c r="E14" i="6"/>
  <c r="E15" i="6"/>
  <c r="E16" i="6"/>
  <c r="E17" i="6"/>
  <c r="E18" i="6"/>
  <c r="E19" i="6"/>
  <c r="E20" i="6"/>
  <c r="E21" i="6"/>
  <c r="E13" i="6"/>
  <c r="C8" i="2"/>
  <c r="E19" i="2"/>
  <c r="E20" i="2"/>
  <c r="E21" i="2"/>
  <c r="E20" i="8" l="1"/>
  <c r="E21" i="8"/>
  <c r="E22" i="8"/>
  <c r="E23" i="8"/>
  <c r="E24" i="8"/>
  <c r="E25" i="8"/>
  <c r="E26" i="8"/>
  <c r="E27" i="8"/>
  <c r="K19" i="2"/>
  <c r="K21" i="2"/>
  <c r="K20" i="2"/>
  <c r="J19" i="2" l="1"/>
  <c r="J20" i="2"/>
  <c r="J21" i="2"/>
  <c r="B2" i="8"/>
  <c r="C2" i="8"/>
  <c r="G8" i="8" s="1"/>
  <c r="I25" i="2"/>
  <c r="E18" i="2"/>
  <c r="E22" i="2"/>
  <c r="E23" i="2"/>
  <c r="E24" i="2"/>
  <c r="E25" i="2"/>
  <c r="E26" i="2"/>
  <c r="E27" i="2"/>
  <c r="E28" i="2"/>
  <c r="E29" i="2"/>
  <c r="E10" i="2"/>
  <c r="E11" i="2"/>
  <c r="E12" i="2"/>
  <c r="E13" i="2"/>
  <c r="E14" i="2"/>
  <c r="E15" i="2"/>
  <c r="E16" i="2"/>
  <c r="E17" i="2"/>
  <c r="E9" i="2"/>
  <c r="E8" i="2"/>
  <c r="G50" i="6"/>
  <c r="G130" i="1"/>
  <c r="H130" i="1" s="1"/>
  <c r="H102" i="1"/>
  <c r="H56" i="1"/>
  <c r="H73" i="1"/>
  <c r="H98" i="1"/>
  <c r="H63" i="1"/>
  <c r="H46" i="1"/>
  <c r="H110" i="1"/>
  <c r="Q20" i="5"/>
  <c r="M20" i="5" s="1"/>
  <c r="R20" i="5" s="1"/>
  <c r="F31" i="2"/>
  <c r="G23" i="6"/>
  <c r="G19" i="4"/>
  <c r="H51" i="6"/>
  <c r="F50" i="6"/>
  <c r="D36" i="6"/>
  <c r="H24" i="6"/>
  <c r="F23" i="6"/>
  <c r="D11" i="6"/>
  <c r="C6" i="5"/>
  <c r="D6" i="5" s="1" a="1"/>
  <c r="D6" i="5" s="1"/>
  <c r="B6" i="5"/>
  <c r="C7" i="5"/>
  <c r="D7" i="5" s="1" a="1"/>
  <c r="D7" i="5" s="1"/>
  <c r="C8" i="5"/>
  <c r="D8" i="5" s="1" a="1"/>
  <c r="D8" i="5" s="1"/>
  <c r="C9" i="5"/>
  <c r="D9" i="5" s="1" a="1"/>
  <c r="D9" i="5" s="1"/>
  <c r="C10" i="5"/>
  <c r="D10" i="5" s="1" a="1"/>
  <c r="D10" i="5" s="1"/>
  <c r="C11" i="5"/>
  <c r="D11" i="5" s="1" a="1"/>
  <c r="D11" i="5" s="1"/>
  <c r="C12" i="5"/>
  <c r="D12" i="5" s="1" a="1"/>
  <c r="D12" i="5" s="1"/>
  <c r="C13" i="5"/>
  <c r="D13" i="5" s="1" a="1"/>
  <c r="D13" i="5" s="1"/>
  <c r="C14" i="5"/>
  <c r="D14" i="5" s="1" a="1"/>
  <c r="D14" i="5" s="1"/>
  <c r="C15" i="5"/>
  <c r="D15" i="5" s="1" a="1"/>
  <c r="D15" i="5" s="1"/>
  <c r="C16" i="5"/>
  <c r="D16" i="5" s="1" a="1"/>
  <c r="D16" i="5" s="1"/>
  <c r="H20" i="4"/>
  <c r="F19" i="4"/>
  <c r="D5" i="4"/>
  <c r="J44" i="6"/>
  <c r="J39" i="6"/>
  <c r="J13" i="4"/>
  <c r="E9" i="4"/>
  <c r="J40" i="6"/>
  <c r="G15" i="4"/>
  <c r="E10" i="4"/>
  <c r="E8" i="4"/>
  <c r="J46" i="6"/>
  <c r="E7" i="4"/>
  <c r="J43" i="6"/>
  <c r="G7" i="4"/>
  <c r="G11" i="4"/>
  <c r="J47" i="6"/>
  <c r="G9" i="4"/>
  <c r="J10" i="4"/>
  <c r="J41" i="6"/>
  <c r="G12" i="4"/>
  <c r="J48" i="6"/>
  <c r="G16" i="4"/>
  <c r="E14" i="4"/>
  <c r="E13" i="4"/>
  <c r="E12" i="4"/>
  <c r="J45" i="6"/>
  <c r="J7" i="4"/>
  <c r="J9" i="4"/>
  <c r="J38" i="6"/>
  <c r="J14" i="4"/>
  <c r="J11" i="4"/>
  <c r="G17" i="4"/>
  <c r="E15" i="4"/>
  <c r="G8" i="4"/>
  <c r="E16" i="4"/>
  <c r="J17" i="4"/>
  <c r="J12" i="4"/>
  <c r="G10" i="4"/>
  <c r="J42" i="6"/>
  <c r="J8" i="4"/>
  <c r="E11" i="4"/>
  <c r="G14" i="4"/>
  <c r="E17" i="4"/>
  <c r="J16" i="4"/>
  <c r="J15" i="4"/>
  <c r="C6" i="3" l="1"/>
  <c r="D7" i="3"/>
  <c r="D19" i="3"/>
  <c r="D11" i="3"/>
  <c r="D13" i="3"/>
  <c r="D25" i="3"/>
  <c r="D31" i="3"/>
  <c r="D29" i="3"/>
  <c r="D12" i="3"/>
  <c r="D24" i="3"/>
  <c r="D20" i="3"/>
  <c r="D16" i="3"/>
  <c r="D18" i="3"/>
  <c r="D26" i="3"/>
  <c r="D23" i="3"/>
  <c r="D9" i="3"/>
  <c r="D30" i="3"/>
  <c r="D10" i="3"/>
  <c r="D17" i="3"/>
  <c r="D22" i="3"/>
  <c r="D27" i="3"/>
  <c r="D15" i="3"/>
  <c r="D28" i="3"/>
  <c r="D21" i="3"/>
  <c r="D8" i="3"/>
  <c r="D14" i="3"/>
  <c r="F8" i="2"/>
  <c r="I8" i="2"/>
  <c r="K9" i="2"/>
  <c r="J27" i="2"/>
  <c r="J23" i="2"/>
  <c r="K22" i="2"/>
  <c r="K26" i="2"/>
  <c r="K17" i="2"/>
  <c r="K15" i="2"/>
  <c r="K13" i="2"/>
  <c r="K11" i="2"/>
  <c r="K18" i="2"/>
  <c r="J16" i="2"/>
  <c r="J14" i="2"/>
  <c r="J12" i="2"/>
  <c r="J10" i="2"/>
  <c r="K29" i="2"/>
  <c r="K25" i="2"/>
  <c r="J28" i="2"/>
  <c r="J24" i="2"/>
  <c r="Q35" i="3"/>
  <c r="M35" i="3" s="1"/>
  <c r="G32" i="2"/>
  <c r="J26" i="2"/>
  <c r="J22" i="2"/>
  <c r="J29" i="2"/>
  <c r="J25" i="2"/>
  <c r="K28" i="2"/>
  <c r="K24" i="2"/>
  <c r="K23" i="2"/>
  <c r="K27" i="2"/>
  <c r="F18" i="2"/>
  <c r="D18" i="2"/>
  <c r="F14" i="2"/>
  <c r="D14" i="2"/>
  <c r="F10" i="2"/>
  <c r="D10" i="2"/>
  <c r="D29" i="2"/>
  <c r="F29" i="2"/>
  <c r="G29" i="2" s="1"/>
  <c r="D25" i="2"/>
  <c r="F25" i="2"/>
  <c r="G25" i="2" s="1"/>
  <c r="D21" i="2"/>
  <c r="F21" i="2"/>
  <c r="G21" i="2" s="1"/>
  <c r="D16" i="2"/>
  <c r="F16" i="2"/>
  <c r="D12" i="2"/>
  <c r="F12" i="2"/>
  <c r="F23" i="2"/>
  <c r="G23" i="2" s="1"/>
  <c r="D23" i="2"/>
  <c r="D28" i="2"/>
  <c r="F28" i="2"/>
  <c r="G28" i="2" s="1"/>
  <c r="D24" i="2"/>
  <c r="F24" i="2"/>
  <c r="G24" i="2" s="1"/>
  <c r="F9" i="2"/>
  <c r="D9" i="2"/>
  <c r="F26" i="2"/>
  <c r="G26" i="2" s="1"/>
  <c r="D26" i="2"/>
  <c r="D8" i="2"/>
  <c r="D20" i="2"/>
  <c r="F20" i="2"/>
  <c r="F17" i="2"/>
  <c r="D17" i="2"/>
  <c r="D15" i="2"/>
  <c r="F15" i="2"/>
  <c r="F13" i="2"/>
  <c r="D13" i="2"/>
  <c r="D11" i="2"/>
  <c r="F11" i="2"/>
  <c r="F22" i="2"/>
  <c r="G22" i="2" s="1"/>
  <c r="D22" i="2"/>
  <c r="F27" i="2"/>
  <c r="G27" i="2" s="1"/>
  <c r="D27" i="2"/>
  <c r="D19" i="2"/>
  <c r="F19" i="2"/>
  <c r="H17" i="4"/>
  <c r="H16" i="6"/>
  <c r="H18" i="6"/>
  <c r="H39" i="6"/>
  <c r="H44" i="6"/>
  <c r="H19" i="6"/>
  <c r="H9" i="4"/>
  <c r="H16" i="4"/>
  <c r="H38" i="6"/>
  <c r="H42" i="6"/>
  <c r="H47" i="6"/>
  <c r="H48" i="6"/>
  <c r="H14" i="6"/>
  <c r="H21" i="6"/>
  <c r="H8" i="4"/>
  <c r="H12" i="4"/>
  <c r="H15" i="4"/>
  <c r="H13" i="6"/>
  <c r="H15" i="6"/>
  <c r="H17" i="6"/>
  <c r="H20" i="6"/>
  <c r="H41" i="6"/>
  <c r="H46" i="6"/>
  <c r="K43" i="6"/>
  <c r="H10" i="4"/>
  <c r="H7" i="4"/>
  <c r="H11" i="4"/>
  <c r="H14" i="4"/>
  <c r="H40" i="6"/>
  <c r="H45" i="6"/>
  <c r="L48" i="6"/>
  <c r="H43" i="6"/>
  <c r="Q36" i="3"/>
  <c r="M36" i="3" s="1"/>
  <c r="R36" i="3" s="1"/>
  <c r="E6" i="2"/>
  <c r="L43" i="6"/>
  <c r="K48" i="6"/>
  <c r="L38" i="6"/>
  <c r="K38" i="6"/>
  <c r="L39" i="6"/>
  <c r="K39" i="6"/>
  <c r="L40" i="6"/>
  <c r="K40" i="6"/>
  <c r="L41" i="6"/>
  <c r="K41" i="6"/>
  <c r="L42" i="6"/>
  <c r="K42" i="6"/>
  <c r="L44" i="6"/>
  <c r="K44" i="6"/>
  <c r="L45" i="6"/>
  <c r="K45" i="6"/>
  <c r="L46" i="6"/>
  <c r="K46" i="6"/>
  <c r="L47" i="6"/>
  <c r="K47" i="6"/>
  <c r="D54" i="6"/>
  <c r="D52" i="6"/>
  <c r="D27" i="6"/>
  <c r="D25" i="6"/>
  <c r="L7" i="4"/>
  <c r="K7" i="4"/>
  <c r="L8" i="4"/>
  <c r="K8" i="4"/>
  <c r="L9" i="4"/>
  <c r="K9" i="4"/>
  <c r="L10" i="4"/>
  <c r="K10" i="4"/>
  <c r="L11" i="4"/>
  <c r="K11" i="4"/>
  <c r="L12" i="4"/>
  <c r="K12" i="4"/>
  <c r="L13" i="4"/>
  <c r="K13" i="4"/>
  <c r="L14" i="4"/>
  <c r="K14" i="4"/>
  <c r="L15" i="4"/>
  <c r="K15" i="4"/>
  <c r="L16" i="4"/>
  <c r="K16" i="4"/>
  <c r="L17" i="4"/>
  <c r="K17" i="4"/>
  <c r="D23" i="4"/>
  <c r="D21" i="4"/>
  <c r="H68" i="1"/>
  <c r="H82" i="1"/>
  <c r="H11" i="1"/>
  <c r="H38" i="1"/>
  <c r="H121" i="1"/>
  <c r="G24" i="1"/>
  <c r="L10" i="5"/>
  <c r="F15" i="5"/>
  <c r="V8" i="5"/>
  <c r="F16" i="5"/>
  <c r="I12" i="5"/>
  <c r="S9" i="5"/>
  <c r="G13" i="4"/>
  <c r="L8" i="5"/>
  <c r="I14" i="5"/>
  <c r="S12" i="5"/>
  <c r="S11" i="5"/>
  <c r="F14" i="5"/>
  <c r="I9" i="5"/>
  <c r="I16" i="5"/>
  <c r="L7" i="5"/>
  <c r="V7" i="5"/>
  <c r="F8" i="5"/>
  <c r="S10" i="5"/>
  <c r="V16" i="5"/>
  <c r="L16" i="5"/>
  <c r="S14" i="5"/>
  <c r="F13" i="5"/>
  <c r="F7" i="5"/>
  <c r="S13" i="5"/>
  <c r="I10" i="5"/>
  <c r="S6" i="5"/>
  <c r="S7" i="5"/>
  <c r="I11" i="5"/>
  <c r="V12" i="5"/>
  <c r="I7" i="5"/>
  <c r="V6" i="5"/>
  <c r="I15" i="5"/>
  <c r="F6" i="5"/>
  <c r="V15" i="5"/>
  <c r="L11" i="5"/>
  <c r="L13" i="5"/>
  <c r="L9" i="5"/>
  <c r="I13" i="5"/>
  <c r="F12" i="5"/>
  <c r="S15" i="5"/>
  <c r="F10" i="5"/>
  <c r="V11" i="5"/>
  <c r="L14" i="5"/>
  <c r="V14" i="5"/>
  <c r="L6" i="5"/>
  <c r="V13" i="5"/>
  <c r="L12" i="5"/>
  <c r="I6" i="5"/>
  <c r="I8" i="5"/>
  <c r="S8" i="5"/>
  <c r="S16" i="5"/>
  <c r="L15" i="5"/>
  <c r="V10" i="5"/>
  <c r="F9" i="5"/>
  <c r="F11" i="5"/>
  <c r="V9" i="5"/>
  <c r="T20" i="3" l="1"/>
  <c r="U20" i="3" s="1"/>
  <c r="G20" i="3"/>
  <c r="H20" i="3" s="1"/>
  <c r="M20" i="3"/>
  <c r="N20" i="3" s="1"/>
  <c r="J20" i="3"/>
  <c r="K20" i="3" s="1"/>
  <c r="W20" i="3"/>
  <c r="P20" i="3"/>
  <c r="Q20" i="3" s="1"/>
  <c r="T27" i="3"/>
  <c r="U27" i="3" s="1"/>
  <c r="G27" i="3"/>
  <c r="H27" i="3" s="1"/>
  <c r="W27" i="3"/>
  <c r="J27" i="3"/>
  <c r="K27" i="3" s="1"/>
  <c r="M27" i="3"/>
  <c r="N27" i="3" s="1"/>
  <c r="P27" i="3"/>
  <c r="Q27" i="3" s="1"/>
  <c r="P30" i="3"/>
  <c r="Q30" i="3" s="1"/>
  <c r="M30" i="3"/>
  <c r="N30" i="3" s="1"/>
  <c r="W30" i="3"/>
  <c r="T30" i="3"/>
  <c r="U30" i="3" s="1"/>
  <c r="J30" i="3"/>
  <c r="K30" i="3" s="1"/>
  <c r="G30" i="3"/>
  <c r="H30" i="3" s="1"/>
  <c r="W24" i="3"/>
  <c r="J24" i="3"/>
  <c r="K24" i="3" s="1"/>
  <c r="G24" i="3"/>
  <c r="H24" i="3" s="1"/>
  <c r="M24" i="3"/>
  <c r="N24" i="3" s="1"/>
  <c r="T24" i="3"/>
  <c r="U24" i="3" s="1"/>
  <c r="P24" i="3"/>
  <c r="Q24" i="3" s="1"/>
  <c r="T31" i="3"/>
  <c r="U31" i="3" s="1"/>
  <c r="G31" i="3"/>
  <c r="H31" i="3" s="1"/>
  <c r="M31" i="3"/>
  <c r="N31" i="3" s="1"/>
  <c r="W31" i="3"/>
  <c r="J31" i="3"/>
  <c r="K31" i="3" s="1"/>
  <c r="P31" i="3"/>
  <c r="Q31" i="3" s="1"/>
  <c r="J22" i="3"/>
  <c r="K22" i="3" s="1"/>
  <c r="T22" i="3"/>
  <c r="U22" i="3" s="1"/>
  <c r="G22" i="3"/>
  <c r="H22" i="3" s="1"/>
  <c r="M22" i="3"/>
  <c r="N22" i="3" s="1"/>
  <c r="W22" i="3"/>
  <c r="P22" i="3"/>
  <c r="Q22" i="3" s="1"/>
  <c r="T23" i="3"/>
  <c r="U23" i="3" s="1"/>
  <c r="W23" i="3"/>
  <c r="M23" i="3"/>
  <c r="N23" i="3" s="1"/>
  <c r="J23" i="3"/>
  <c r="K23" i="3" s="1"/>
  <c r="G23" i="3"/>
  <c r="H23" i="3" s="1"/>
  <c r="P23" i="3"/>
  <c r="Q23" i="3" s="1"/>
  <c r="T29" i="3"/>
  <c r="U29" i="3" s="1"/>
  <c r="J29" i="3"/>
  <c r="K29" i="3" s="1"/>
  <c r="M29" i="3"/>
  <c r="N29" i="3" s="1"/>
  <c r="G29" i="3"/>
  <c r="H29" i="3" s="1"/>
  <c r="W29" i="3"/>
  <c r="P29" i="3"/>
  <c r="Q29" i="3" s="1"/>
  <c r="G25" i="3"/>
  <c r="H25" i="3" s="1"/>
  <c r="T25" i="3"/>
  <c r="U25" i="3" s="1"/>
  <c r="W25" i="3"/>
  <c r="M25" i="3"/>
  <c r="N25" i="3" s="1"/>
  <c r="J25" i="3"/>
  <c r="K25" i="3" s="1"/>
  <c r="P25" i="3"/>
  <c r="Q25" i="3" s="1"/>
  <c r="M26" i="3"/>
  <c r="N26" i="3" s="1"/>
  <c r="W26" i="3"/>
  <c r="J26" i="3"/>
  <c r="K26" i="3" s="1"/>
  <c r="T26" i="3"/>
  <c r="U26" i="3" s="1"/>
  <c r="G26" i="3"/>
  <c r="H26" i="3" s="1"/>
  <c r="P26" i="3"/>
  <c r="Q26" i="3" s="1"/>
  <c r="G21" i="3"/>
  <c r="H21" i="3" s="1"/>
  <c r="W21" i="3"/>
  <c r="M21" i="3"/>
  <c r="N21" i="3" s="1"/>
  <c r="T21" i="3"/>
  <c r="U21" i="3" s="1"/>
  <c r="J21" i="3"/>
  <c r="K21" i="3" s="1"/>
  <c r="P21" i="3"/>
  <c r="Q21" i="3" s="1"/>
  <c r="T28" i="3"/>
  <c r="U28" i="3" s="1"/>
  <c r="G28" i="3"/>
  <c r="H28" i="3" s="1"/>
  <c r="J28" i="3"/>
  <c r="K28" i="3" s="1"/>
  <c r="M28" i="3"/>
  <c r="N28" i="3" s="1"/>
  <c r="W28" i="3"/>
  <c r="P28" i="3"/>
  <c r="Q28" i="3" s="1"/>
  <c r="J9" i="2"/>
  <c r="K10" i="2"/>
  <c r="K16" i="2"/>
  <c r="J11" i="2"/>
  <c r="J17" i="2"/>
  <c r="K12" i="2"/>
  <c r="J18" i="2"/>
  <c r="J13" i="2"/>
  <c r="K14" i="2"/>
  <c r="J15" i="2"/>
  <c r="H23" i="6"/>
  <c r="D28" i="6" s="1"/>
  <c r="D29" i="6" s="1"/>
  <c r="L19" i="3"/>
  <c r="F19" i="3"/>
  <c r="I19" i="3"/>
  <c r="S19" i="3"/>
  <c r="V19" i="3"/>
  <c r="S18" i="3"/>
  <c r="V18" i="3"/>
  <c r="F18" i="3"/>
  <c r="I18" i="3"/>
  <c r="L18" i="3"/>
  <c r="V17" i="3"/>
  <c r="F17" i="3"/>
  <c r="S17" i="3"/>
  <c r="I17" i="3"/>
  <c r="L17" i="3"/>
  <c r="S11" i="3"/>
  <c r="I11" i="3"/>
  <c r="L11" i="3"/>
  <c r="V11" i="3"/>
  <c r="F11" i="3"/>
  <c r="S15" i="3"/>
  <c r="I15" i="3"/>
  <c r="L15" i="3"/>
  <c r="V15" i="3"/>
  <c r="F15" i="3"/>
  <c r="V7" i="3"/>
  <c r="F7" i="3"/>
  <c r="L7" i="3"/>
  <c r="S7" i="3"/>
  <c r="I7" i="3"/>
  <c r="I13" i="3"/>
  <c r="S13" i="3"/>
  <c r="V13" i="3"/>
  <c r="F13" i="3"/>
  <c r="L13" i="3"/>
  <c r="L9" i="3"/>
  <c r="F9" i="3"/>
  <c r="I9" i="3"/>
  <c r="S9" i="3"/>
  <c r="L14" i="3"/>
  <c r="V14" i="3"/>
  <c r="F14" i="3"/>
  <c r="I14" i="3"/>
  <c r="S14" i="3"/>
  <c r="V6" i="3"/>
  <c r="F6" i="3"/>
  <c r="D6" i="3"/>
  <c r="L6" i="3"/>
  <c r="S6" i="3"/>
  <c r="I6" i="3"/>
  <c r="V16" i="3"/>
  <c r="F16" i="3"/>
  <c r="L16" i="3"/>
  <c r="S16" i="3"/>
  <c r="I16" i="3"/>
  <c r="V12" i="3"/>
  <c r="F12" i="3"/>
  <c r="L12" i="3"/>
  <c r="S12" i="3"/>
  <c r="I12" i="3"/>
  <c r="I8" i="3"/>
  <c r="S8" i="3"/>
  <c r="V8" i="3"/>
  <c r="F8" i="3"/>
  <c r="L8" i="3"/>
  <c r="L10" i="3"/>
  <c r="F10" i="3"/>
  <c r="S10" i="3"/>
  <c r="I10" i="3"/>
  <c r="V10" i="3"/>
  <c r="H50" i="6"/>
  <c r="D55" i="6" s="1"/>
  <c r="D56" i="6" s="1"/>
  <c r="H13" i="4"/>
  <c r="H19" i="4" s="1"/>
  <c r="D24" i="4" s="1"/>
  <c r="D25" i="4" s="1"/>
  <c r="G13" i="2"/>
  <c r="G12" i="2"/>
  <c r="G19" i="2"/>
  <c r="G18" i="2"/>
  <c r="G15" i="2"/>
  <c r="G14" i="2"/>
  <c r="G20" i="2"/>
  <c r="G10" i="2"/>
  <c r="G11" i="2"/>
  <c r="G16" i="2"/>
  <c r="G17" i="2"/>
  <c r="E44" i="2"/>
  <c r="O12" i="5"/>
  <c r="P12" i="5" s="1"/>
  <c r="Q12" i="5" s="1"/>
  <c r="O6" i="5"/>
  <c r="P6" i="5" s="1"/>
  <c r="O16" i="5"/>
  <c r="P16" i="5" s="1"/>
  <c r="Q16" i="5" s="1"/>
  <c r="O10" i="5"/>
  <c r="P10" i="5" s="1"/>
  <c r="Q10" i="5" s="1"/>
  <c r="O8" i="5"/>
  <c r="P8" i="5" s="1"/>
  <c r="Q8" i="5" s="1"/>
  <c r="O15" i="5"/>
  <c r="P15" i="5" s="1"/>
  <c r="Q15" i="5" s="1"/>
  <c r="O11" i="5"/>
  <c r="P11" i="5" s="1"/>
  <c r="Q11" i="5" s="1"/>
  <c r="O7" i="5"/>
  <c r="P7" i="5" s="1"/>
  <c r="Q7" i="5" s="1"/>
  <c r="O14" i="5"/>
  <c r="P14" i="5" s="1"/>
  <c r="Q14" i="5" s="1"/>
  <c r="O13" i="5"/>
  <c r="P13" i="5" s="1"/>
  <c r="Q13" i="5" s="1"/>
  <c r="O9" i="5"/>
  <c r="P9" i="5" s="1"/>
  <c r="Q9" i="5" s="1"/>
  <c r="G16" i="5"/>
  <c r="H16" i="5" s="1"/>
  <c r="J16" i="5"/>
  <c r="K16" i="5" s="1"/>
  <c r="M16" i="5"/>
  <c r="N16" i="5" s="1"/>
  <c r="T16" i="5"/>
  <c r="U16" i="5" s="1"/>
  <c r="W16" i="5"/>
  <c r="G15" i="5"/>
  <c r="H15" i="5" s="1"/>
  <c r="J15" i="5"/>
  <c r="K15" i="5" s="1"/>
  <c r="M15" i="5"/>
  <c r="N15" i="5" s="1"/>
  <c r="T15" i="5"/>
  <c r="U15" i="5" s="1"/>
  <c r="W15" i="5"/>
  <c r="G14" i="5"/>
  <c r="H14" i="5" s="1"/>
  <c r="J14" i="5"/>
  <c r="K14" i="5" s="1"/>
  <c r="M14" i="5"/>
  <c r="N14" i="5" s="1"/>
  <c r="T14" i="5"/>
  <c r="U14" i="5" s="1"/>
  <c r="W14" i="5"/>
  <c r="G13" i="5"/>
  <c r="H13" i="5" s="1"/>
  <c r="J13" i="5"/>
  <c r="K13" i="5" s="1"/>
  <c r="M13" i="5"/>
  <c r="N13" i="5" s="1"/>
  <c r="T13" i="5"/>
  <c r="U13" i="5" s="1"/>
  <c r="W13" i="5"/>
  <c r="G12" i="5"/>
  <c r="H12" i="5" s="1"/>
  <c r="J12" i="5"/>
  <c r="K12" i="5" s="1"/>
  <c r="M12" i="5"/>
  <c r="N12" i="5" s="1"/>
  <c r="T12" i="5"/>
  <c r="U12" i="5" s="1"/>
  <c r="W12" i="5"/>
  <c r="G11" i="5"/>
  <c r="H11" i="5" s="1"/>
  <c r="J11" i="5"/>
  <c r="K11" i="5" s="1"/>
  <c r="M11" i="5"/>
  <c r="N11" i="5" s="1"/>
  <c r="T11" i="5"/>
  <c r="U11" i="5" s="1"/>
  <c r="W11" i="5"/>
  <c r="G10" i="5"/>
  <c r="H10" i="5" s="1"/>
  <c r="J10" i="5"/>
  <c r="K10" i="5" s="1"/>
  <c r="M10" i="5"/>
  <c r="N10" i="5" s="1"/>
  <c r="T10" i="5"/>
  <c r="U10" i="5" s="1"/>
  <c r="W10" i="5"/>
  <c r="G9" i="5"/>
  <c r="H9" i="5" s="1"/>
  <c r="J9" i="5"/>
  <c r="K9" i="5" s="1"/>
  <c r="M9" i="5"/>
  <c r="N9" i="5" s="1"/>
  <c r="T9" i="5"/>
  <c r="U9" i="5" s="1"/>
  <c r="W9" i="5"/>
  <c r="G8" i="5"/>
  <c r="H8" i="5" s="1"/>
  <c r="J8" i="5"/>
  <c r="K8" i="5" s="1"/>
  <c r="M8" i="5"/>
  <c r="N8" i="5" s="1"/>
  <c r="T8" i="5"/>
  <c r="U8" i="5" s="1"/>
  <c r="W8" i="5"/>
  <c r="G7" i="5"/>
  <c r="H7" i="5" s="1"/>
  <c r="J7" i="5"/>
  <c r="K7" i="5" s="1"/>
  <c r="M7" i="5"/>
  <c r="N7" i="5" s="1"/>
  <c r="T7" i="5"/>
  <c r="U7" i="5" s="1"/>
  <c r="W7" i="5"/>
  <c r="D18" i="5"/>
  <c r="G6" i="5"/>
  <c r="E6" i="5"/>
  <c r="J6" i="5"/>
  <c r="M6" i="5"/>
  <c r="T6" i="5"/>
  <c r="W6" i="5"/>
  <c r="E31" i="2"/>
  <c r="J35" i="2" s="1"/>
  <c r="R29" i="3" l="1"/>
  <c r="R24" i="3"/>
  <c r="R27" i="3"/>
  <c r="R30" i="3"/>
  <c r="R21" i="3"/>
  <c r="R28" i="3"/>
  <c r="R26" i="3"/>
  <c r="R25" i="3"/>
  <c r="R31" i="3"/>
  <c r="R20" i="3"/>
  <c r="R23" i="3"/>
  <c r="R22" i="3"/>
  <c r="D33" i="3"/>
  <c r="T16" i="3"/>
  <c r="U16" i="3" s="1"/>
  <c r="J8" i="3"/>
  <c r="K8" i="3" s="1"/>
  <c r="W13" i="3"/>
  <c r="W15" i="3"/>
  <c r="T19" i="3"/>
  <c r="U19" i="3" s="1"/>
  <c r="W8" i="3"/>
  <c r="M12" i="3"/>
  <c r="N12" i="3" s="1"/>
  <c r="M10" i="3"/>
  <c r="N10" i="3" s="1"/>
  <c r="J12" i="3"/>
  <c r="K12" i="3" s="1"/>
  <c r="W17" i="3"/>
  <c r="W10" i="3"/>
  <c r="W12" i="3"/>
  <c r="M16" i="3"/>
  <c r="N16" i="3" s="1"/>
  <c r="T8" i="3"/>
  <c r="U8" i="3" s="1"/>
  <c r="J16" i="3"/>
  <c r="K16" i="3" s="1"/>
  <c r="W16" i="3"/>
  <c r="T12" i="3"/>
  <c r="U12" i="3" s="1"/>
  <c r="W9" i="3"/>
  <c r="W11" i="3"/>
  <c r="M8" i="3"/>
  <c r="N8" i="3" s="1"/>
  <c r="M19" i="3"/>
  <c r="N19" i="3" s="1"/>
  <c r="M18" i="3"/>
  <c r="N18" i="3" s="1"/>
  <c r="J15" i="3"/>
  <c r="K15" i="3" s="1"/>
  <c r="M14" i="3"/>
  <c r="N14" i="3" s="1"/>
  <c r="J19" i="3"/>
  <c r="K19" i="3" s="1"/>
  <c r="M11" i="3"/>
  <c r="N11" i="3" s="1"/>
  <c r="J6" i="3"/>
  <c r="K6" i="3" s="1"/>
  <c r="M17" i="3"/>
  <c r="N17" i="3" s="1"/>
  <c r="M13" i="3"/>
  <c r="N13" i="3" s="1"/>
  <c r="W19" i="3"/>
  <c r="M15" i="3"/>
  <c r="N15" i="3" s="1"/>
  <c r="W6" i="3"/>
  <c r="W7" i="3"/>
  <c r="J11" i="3"/>
  <c r="K11" i="3" s="1"/>
  <c r="M9" i="3"/>
  <c r="N9" i="3" s="1"/>
  <c r="M6" i="3"/>
  <c r="N6" i="3" s="1"/>
  <c r="W18" i="5"/>
  <c r="K29" i="5" s="1"/>
  <c r="T18" i="5"/>
  <c r="U18" i="5" s="1"/>
  <c r="U6" i="5"/>
  <c r="M18" i="5"/>
  <c r="K27" i="5" s="1"/>
  <c r="N6" i="5"/>
  <c r="N18" i="5" s="1"/>
  <c r="J18" i="5"/>
  <c r="K26" i="5" s="1"/>
  <c r="K6" i="5"/>
  <c r="K18" i="5" s="1"/>
  <c r="G18" i="5"/>
  <c r="K25" i="5" s="1"/>
  <c r="H6" i="5"/>
  <c r="P18" i="5"/>
  <c r="Q6" i="5"/>
  <c r="E16" i="5"/>
  <c r="E15" i="5"/>
  <c r="E14" i="5"/>
  <c r="E13" i="5"/>
  <c r="E12" i="5"/>
  <c r="E11" i="5"/>
  <c r="E10" i="5"/>
  <c r="E9" i="5"/>
  <c r="E8" i="5"/>
  <c r="E7" i="5"/>
  <c r="E18" i="5" s="1"/>
  <c r="R7" i="5"/>
  <c r="R8" i="5"/>
  <c r="R9" i="5"/>
  <c r="R10" i="5"/>
  <c r="R11" i="5"/>
  <c r="R12" i="5"/>
  <c r="R13" i="5"/>
  <c r="R14" i="5"/>
  <c r="R15" i="5"/>
  <c r="R16" i="5"/>
  <c r="K8" i="2"/>
  <c r="J8" i="2"/>
  <c r="O9" i="3"/>
  <c r="P9" i="3" s="1"/>
  <c r="Q9" i="3" s="1"/>
  <c r="J7" i="3"/>
  <c r="K7" i="3" s="1"/>
  <c r="M7" i="3"/>
  <c r="N7" i="3" s="1"/>
  <c r="T14" i="3"/>
  <c r="U14" i="3" s="1"/>
  <c r="O13" i="3"/>
  <c r="P13" i="3" s="1"/>
  <c r="Q13" i="3" s="1"/>
  <c r="O10" i="3"/>
  <c r="P10" i="3" s="1"/>
  <c r="Q10" i="3" s="1"/>
  <c r="O18" i="3"/>
  <c r="P18" i="3" s="1"/>
  <c r="Q18" i="3" s="1"/>
  <c r="T9" i="3"/>
  <c r="U9" i="3" s="1"/>
  <c r="J13" i="3"/>
  <c r="K13" i="3" s="1"/>
  <c r="O15" i="3"/>
  <c r="P15" i="3" s="1"/>
  <c r="Q15" i="3" s="1"/>
  <c r="G14" i="3"/>
  <c r="H14" i="3" s="1"/>
  <c r="T18" i="3"/>
  <c r="U18" i="3" s="1"/>
  <c r="O8" i="3"/>
  <c r="P8" i="3" s="1"/>
  <c r="Q8" i="3" s="1"/>
  <c r="G7" i="3"/>
  <c r="H7" i="3" s="1"/>
  <c r="T7" i="3"/>
  <c r="U7" i="3" s="1"/>
  <c r="G8" i="3"/>
  <c r="H8" i="3" s="1"/>
  <c r="G9" i="3"/>
  <c r="H9" i="3" s="1"/>
  <c r="T13" i="3"/>
  <c r="U13" i="3" s="1"/>
  <c r="J17" i="3"/>
  <c r="K17" i="3" s="1"/>
  <c r="O19" i="3"/>
  <c r="P19" i="3" s="1"/>
  <c r="Q19" i="3" s="1"/>
  <c r="G18" i="3"/>
  <c r="H18" i="3" s="1"/>
  <c r="J10" i="3"/>
  <c r="K10" i="3" s="1"/>
  <c r="O12" i="3"/>
  <c r="P12" i="3" s="1"/>
  <c r="Q12" i="3" s="1"/>
  <c r="G11" i="3"/>
  <c r="H11" i="3" s="1"/>
  <c r="W14" i="3"/>
  <c r="T17" i="3"/>
  <c r="U17" i="3" s="1"/>
  <c r="O7" i="3"/>
  <c r="P7" i="3" s="1"/>
  <c r="Q7" i="3" s="1"/>
  <c r="G19" i="3"/>
  <c r="H19" i="3" s="1"/>
  <c r="T10" i="3"/>
  <c r="U10" i="3" s="1"/>
  <c r="J14" i="3"/>
  <c r="K14" i="3" s="1"/>
  <c r="O16" i="3"/>
  <c r="P16" i="3" s="1"/>
  <c r="Q16" i="3" s="1"/>
  <c r="G15" i="3"/>
  <c r="H15" i="3" s="1"/>
  <c r="G16" i="3"/>
  <c r="H16" i="3" s="1"/>
  <c r="W18" i="3"/>
  <c r="G13" i="3"/>
  <c r="H13" i="3" s="1"/>
  <c r="O17" i="3"/>
  <c r="P17" i="3" s="1"/>
  <c r="Q17" i="3" s="1"/>
  <c r="O14" i="3"/>
  <c r="P14" i="3" s="1"/>
  <c r="Q14" i="3" s="1"/>
  <c r="G17" i="3"/>
  <c r="H17" i="3" s="1"/>
  <c r="J9" i="3"/>
  <c r="K9" i="3" s="1"/>
  <c r="O11" i="3"/>
  <c r="P11" i="3" s="1"/>
  <c r="Q11" i="3" s="1"/>
  <c r="G10" i="3"/>
  <c r="H10" i="3" s="1"/>
  <c r="J18" i="3"/>
  <c r="K18" i="3" s="1"/>
  <c r="O6" i="3"/>
  <c r="P6" i="3" s="1"/>
  <c r="Q6" i="3" s="1"/>
  <c r="G6" i="3"/>
  <c r="G12" i="3"/>
  <c r="H12" i="3" s="1"/>
  <c r="T6" i="3"/>
  <c r="T15" i="3"/>
  <c r="U15" i="3" s="1"/>
  <c r="T11" i="3"/>
  <c r="U11" i="3" s="1"/>
  <c r="J37" i="2"/>
  <c r="E22" i="3" l="1"/>
  <c r="E30" i="3"/>
  <c r="E29" i="3"/>
  <c r="E23" i="3"/>
  <c r="E24" i="3"/>
  <c r="E31" i="3"/>
  <c r="E26" i="3"/>
  <c r="E28" i="3"/>
  <c r="E21" i="3"/>
  <c r="E25" i="3"/>
  <c r="E27" i="3"/>
  <c r="E20" i="3"/>
  <c r="T33" i="3"/>
  <c r="U33" i="3" s="1"/>
  <c r="H6" i="3"/>
  <c r="H33" i="3" s="1"/>
  <c r="G33" i="3"/>
  <c r="W33" i="3"/>
  <c r="U6" i="3"/>
  <c r="R8" i="3"/>
  <c r="R13" i="3"/>
  <c r="K28" i="5"/>
  <c r="K30" i="5" s="1"/>
  <c r="Q18" i="5"/>
  <c r="H18" i="5"/>
  <c r="R6" i="5"/>
  <c r="R18" i="5" s="1"/>
  <c r="R22" i="5" s="1"/>
  <c r="R21" i="5" s="1"/>
  <c r="M21" i="5" s="1"/>
  <c r="R9" i="3"/>
  <c r="R12" i="3"/>
  <c r="R16" i="3"/>
  <c r="R19" i="3"/>
  <c r="R10" i="3"/>
  <c r="R15" i="3"/>
  <c r="R11" i="3"/>
  <c r="R18" i="3"/>
  <c r="R7" i="3"/>
  <c r="R14" i="3"/>
  <c r="R17" i="3"/>
  <c r="H18" i="1"/>
  <c r="H71" i="1"/>
  <c r="H72" i="1"/>
  <c r="H21" i="1"/>
  <c r="H57" i="1"/>
  <c r="H106" i="1"/>
  <c r="H108" i="1"/>
  <c r="H107" i="1"/>
  <c r="H99" i="1"/>
  <c r="H12" i="1"/>
  <c r="H103" i="1"/>
  <c r="H75" i="1"/>
  <c r="H101" i="1"/>
  <c r="H104" i="1"/>
  <c r="H125" i="1"/>
  <c r="H139" i="1"/>
  <c r="H36" i="1"/>
  <c r="H37" i="1"/>
  <c r="H115" i="1"/>
  <c r="H118" i="1"/>
  <c r="H131" i="1"/>
  <c r="H132" i="1"/>
  <c r="H13" i="1"/>
  <c r="H16" i="1"/>
  <c r="H25" i="1"/>
  <c r="H28" i="1"/>
  <c r="H48" i="1"/>
  <c r="H58" i="1"/>
  <c r="H69" i="1"/>
  <c r="H80" i="1"/>
  <c r="H91" i="1"/>
  <c r="H111" i="1"/>
  <c r="H140" i="1"/>
  <c r="H141" i="1"/>
  <c r="H20" i="1"/>
  <c r="H62" i="1"/>
  <c r="H61" i="1"/>
  <c r="H64" i="1"/>
  <c r="H81" i="1"/>
  <c r="H87" i="1"/>
  <c r="H24" i="1"/>
  <c r="H45" i="1"/>
  <c r="H47" i="1"/>
  <c r="H55" i="1"/>
  <c r="H59" i="1"/>
  <c r="H60" i="1"/>
  <c r="H65" i="1"/>
  <c r="H67" i="1"/>
  <c r="H85" i="1"/>
  <c r="H86" i="1"/>
  <c r="H89" i="1"/>
  <c r="H92" i="1"/>
  <c r="H95" i="1"/>
  <c r="H96" i="1"/>
  <c r="H105" i="1"/>
  <c r="H112" i="1"/>
  <c r="H117" i="1"/>
  <c r="H133" i="1"/>
  <c r="H135" i="1"/>
  <c r="H136" i="1"/>
  <c r="H137" i="1"/>
  <c r="H138" i="1"/>
  <c r="H30" i="1"/>
  <c r="H34" i="1"/>
  <c r="H39" i="1"/>
  <c r="H84" i="1"/>
  <c r="H14" i="1"/>
  <c r="H51" i="1"/>
  <c r="H109" i="1"/>
  <c r="H52" i="1"/>
  <c r="H83" i="1"/>
  <c r="H76" i="1"/>
  <c r="H94" i="1"/>
  <c r="H129" i="1"/>
  <c r="H74" i="1"/>
  <c r="H53" i="1"/>
  <c r="H78" i="1"/>
  <c r="H79" i="1"/>
  <c r="H88" i="1"/>
  <c r="H119" i="1"/>
  <c r="H120" i="1"/>
  <c r="H122" i="1"/>
  <c r="H123" i="1"/>
  <c r="H124" i="1"/>
  <c r="H128" i="1"/>
  <c r="H7" i="1"/>
  <c r="H8" i="1"/>
  <c r="H9" i="1"/>
  <c r="H66" i="1"/>
  <c r="H90" i="1"/>
  <c r="H22" i="1"/>
  <c r="H23" i="1"/>
  <c r="H31" i="1"/>
  <c r="H40" i="1"/>
  <c r="H93" i="1"/>
  <c r="H100" i="1"/>
  <c r="H127" i="1"/>
  <c r="H32" i="1"/>
  <c r="H49" i="1"/>
  <c r="H50" i="1"/>
  <c r="H116" i="1"/>
  <c r="H15" i="1"/>
  <c r="H44" i="1"/>
  <c r="H77" i="1"/>
  <c r="H97" i="1"/>
  <c r="H113" i="1"/>
  <c r="H126" i="1"/>
  <c r="H134" i="1"/>
  <c r="H19" i="1"/>
  <c r="R6" i="3" l="1"/>
  <c r="R33" i="3" s="1"/>
  <c r="G8" i="2"/>
  <c r="G9" i="2"/>
  <c r="O27" i="5"/>
  <c r="O26" i="5"/>
  <c r="O25" i="5"/>
  <c r="E8" i="3"/>
  <c r="E12" i="3"/>
  <c r="E16" i="3"/>
  <c r="E9" i="3"/>
  <c r="E19" i="3"/>
  <c r="E13" i="3"/>
  <c r="E17" i="3"/>
  <c r="E14" i="3"/>
  <c r="E7" i="3"/>
  <c r="E18" i="3"/>
  <c r="E11" i="3"/>
  <c r="E15" i="3"/>
  <c r="E10" i="3"/>
  <c r="E6" i="3"/>
  <c r="D6" i="2"/>
  <c r="K41" i="3"/>
  <c r="J33" i="3"/>
  <c r="K42" i="3" s="1"/>
  <c r="K33" i="3"/>
  <c r="M33" i="3"/>
  <c r="K43" i="3" s="1"/>
  <c r="N33" i="3"/>
  <c r="P33" i="3"/>
  <c r="K44" i="3" s="1"/>
  <c r="O43" i="3" l="1"/>
  <c r="O42" i="3"/>
  <c r="F38" i="2" s="1"/>
  <c r="I3" i="8" s="1"/>
  <c r="O41" i="3"/>
  <c r="F37" i="2" s="1"/>
  <c r="G3" i="8" s="1"/>
  <c r="E33" i="3"/>
  <c r="G31" i="2"/>
  <c r="H8" i="8" s="1"/>
  <c r="K45" i="3"/>
  <c r="K46" i="3" s="1"/>
  <c r="F40" i="2"/>
  <c r="F39" i="2"/>
  <c r="J3" i="8" s="1"/>
  <c r="O29" i="5"/>
  <c r="Q33" i="3"/>
  <c r="R35" i="3"/>
  <c r="D44" i="2" s="1"/>
  <c r="O45" i="3" l="1"/>
  <c r="J38" i="2"/>
  <c r="J39" i="2" s="1"/>
  <c r="I8" i="8" s="1"/>
  <c r="F36" i="2"/>
  <c r="H3" i="8" s="1"/>
  <c r="R38" i="3"/>
  <c r="R37" i="3" s="1"/>
  <c r="F44" i="2" s="1"/>
  <c r="L3" i="8" s="1"/>
  <c r="K3" i="8" l="1"/>
  <c r="M37" i="3"/>
</calcChain>
</file>

<file path=xl/comments1.xml><?xml version="1.0" encoding="utf-8"?>
<comments xmlns="http://schemas.openxmlformats.org/spreadsheetml/2006/main">
  <authors>
    <author>tc={5401F691-57E0-4378-9C46-A4F5AA833B9D}</author>
  </authors>
  <commentList>
    <comment ref="D6" authorId="0" shapeId="0">
      <text>
        <r>
          <rPr>
            <sz val="11"/>
            <color theme="1"/>
            <rFont val="Calibri"/>
            <family val="2"/>
            <scheme val="minor"/>
          </rPr>
          <t xml:space="preserve">
Your version of Excel allows you to read this threaded comment; however, any edits to it will get removed if the file is opened in a newer version of Excel. Learn more: https://go.microsoft.com/fwlink/?linkid=870924
Comment:
    Se han seleccionado cantidades donde se obtiene el menor precio por gramo. </t>
        </r>
      </text>
    </comment>
  </commentList>
</comments>
</file>

<file path=xl/comments2.xml><?xml version="1.0" encoding="utf-8"?>
<comments xmlns="http://schemas.openxmlformats.org/spreadsheetml/2006/main">
  <authors>
    <author>Daniel Roberto Prada Granada</author>
  </authors>
  <commentList>
    <comment ref="O41" authorId="0" shapeId="0">
      <text>
        <r>
          <rPr>
            <b/>
            <sz val="9"/>
            <color indexed="81"/>
            <rFont val="Tahoma"/>
            <family val="2"/>
          </rPr>
          <t>Daniel Roberto Prada Granada:</t>
        </r>
        <r>
          <rPr>
            <sz val="9"/>
            <color indexed="81"/>
            <rFont val="Tahoma"/>
            <family val="2"/>
          </rPr>
          <t xml:space="preserve">
Dividir por 4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<sst xmlns="http://schemas.openxmlformats.org/spreadsheetml/2006/main" count="1368" uniqueCount="490">
  <si>
    <t>Integrantes:</t>
  </si>
  <si>
    <t>Categoría en la que participan:</t>
  </si>
  <si>
    <t>Nombre de la receta:</t>
  </si>
  <si>
    <t>Categoría</t>
  </si>
  <si>
    <t>Ingrediente</t>
  </si>
  <si>
    <t>CONTROL FINANCIERO</t>
  </si>
  <si>
    <t>Precio total</t>
  </si>
  <si>
    <t>Tarifa IVA ley vigente</t>
  </si>
  <si>
    <t>Departamentos más productores</t>
  </si>
  <si>
    <t>Ref.</t>
  </si>
  <si>
    <t>CONTROL NUTRICIONAL  CON BASE 100 GRAMOS</t>
  </si>
  <si>
    <t>UNIDADES</t>
  </si>
  <si>
    <t>PRODUCTO LOCAL</t>
  </si>
  <si>
    <t>Cantidad Comprada</t>
  </si>
  <si>
    <t>Unidad</t>
  </si>
  <si>
    <t>Equivalencia aproximada</t>
  </si>
  <si>
    <t>Precio por gramo/mililitro</t>
  </si>
  <si>
    <t>Proteína (g)</t>
  </si>
  <si>
    <t>Grasa (g)</t>
  </si>
  <si>
    <t>Carbohidrato (g)</t>
  </si>
  <si>
    <t>Fibra (g)</t>
  </si>
  <si>
    <t>Sodio (mg)</t>
  </si>
  <si>
    <t>gramos</t>
  </si>
  <si>
    <t>Grasas</t>
  </si>
  <si>
    <t>Aceite de coco</t>
  </si>
  <si>
    <t>mililitros</t>
  </si>
  <si>
    <t>Nariño, Cauca y Chocó</t>
  </si>
  <si>
    <t>Click aquí</t>
  </si>
  <si>
    <t>Aceite de girasol</t>
  </si>
  <si>
    <t>Valle del Cauca, Atlántico y Magdalena</t>
  </si>
  <si>
    <t>unidades</t>
  </si>
  <si>
    <t>Aceite de oliva</t>
  </si>
  <si>
    <t>Producto local</t>
  </si>
  <si>
    <t>Acelga</t>
  </si>
  <si>
    <t>Cundinamarca, Boyacá y Antioquia</t>
  </si>
  <si>
    <t>Fruta</t>
  </si>
  <si>
    <t xml:space="preserve">Aguacate </t>
  </si>
  <si>
    <t>1 und</t>
  </si>
  <si>
    <t>Tolima y Antioquia</t>
  </si>
  <si>
    <t>Tubérculos</t>
  </si>
  <si>
    <t>Ahuyama</t>
  </si>
  <si>
    <t>1/2 und</t>
  </si>
  <si>
    <t>La Guajira</t>
  </si>
  <si>
    <t>Hortaliza</t>
  </si>
  <si>
    <t>Ajo</t>
  </si>
  <si>
    <t>Cundinamarca, Boyacá y Nariño</t>
  </si>
  <si>
    <t>Cárnicos</t>
  </si>
  <si>
    <t>Alas (Pollo)</t>
  </si>
  <si>
    <t>Tolima, Valle del Cauca y Antioquia</t>
  </si>
  <si>
    <t>Aromáticas frescas</t>
  </si>
  <si>
    <t>Albahaca</t>
  </si>
  <si>
    <t>Boyacá</t>
  </si>
  <si>
    <t>Apio</t>
  </si>
  <si>
    <t>1 atado</t>
  </si>
  <si>
    <t>Tolima</t>
  </si>
  <si>
    <t>Arazá</t>
  </si>
  <si>
    <t>Amazonas</t>
  </si>
  <si>
    <t>Arracacha amarilla</t>
  </si>
  <si>
    <t>Despensa</t>
  </si>
  <si>
    <t>Arroz blanco</t>
  </si>
  <si>
    <t>20 tz</t>
  </si>
  <si>
    <t>Casanare, Tolima, Huila y Meta</t>
  </si>
  <si>
    <t>Legumbres</t>
  </si>
  <si>
    <t>Arveja verde</t>
  </si>
  <si>
    <t>2 tz</t>
  </si>
  <si>
    <t>Nariño</t>
  </si>
  <si>
    <t>Avena en hojuelas</t>
  </si>
  <si>
    <t>1 tz</t>
  </si>
  <si>
    <t>Alacena</t>
  </si>
  <si>
    <t>Azúcar blanca</t>
  </si>
  <si>
    <t>Cauca y Valle del Cauca</t>
  </si>
  <si>
    <t>Azúcar morena</t>
  </si>
  <si>
    <t>Banano</t>
  </si>
  <si>
    <t>4 und</t>
  </si>
  <si>
    <t>Magdalena y La Guajira</t>
  </si>
  <si>
    <t>Berenjena</t>
  </si>
  <si>
    <t>2 und</t>
  </si>
  <si>
    <t>Córdoba, Sucre y Bolívar</t>
  </si>
  <si>
    <t>Bocachico</t>
  </si>
  <si>
    <t>Magadalena</t>
  </si>
  <si>
    <t>Breva</t>
  </si>
  <si>
    <t>Brócoli</t>
  </si>
  <si>
    <t>Cundinamarca, Antioquia y Norte de Santander</t>
  </si>
  <si>
    <t>Cachama</t>
  </si>
  <si>
    <t>Huila, Casanare y Tolima</t>
  </si>
  <si>
    <t>3.8</t>
  </si>
  <si>
    <t>Cadera (Res)</t>
  </si>
  <si>
    <t>Antioquia, Santander y Atlántico</t>
  </si>
  <si>
    <t>Café instantáneo</t>
  </si>
  <si>
    <t>Huila, Antioquia y Tolima</t>
  </si>
  <si>
    <t>Condimentos</t>
  </si>
  <si>
    <t>Caldo de gallina</t>
  </si>
  <si>
    <t>Carambolo</t>
  </si>
  <si>
    <t>Meta y Valle del Cauca</t>
  </si>
  <si>
    <t>Carne molida (Res)</t>
  </si>
  <si>
    <t>Cebada</t>
  </si>
  <si>
    <t>Boyacá, Cundinamarca y nariño</t>
  </si>
  <si>
    <t>Verduras</t>
  </si>
  <si>
    <t>Cebolla cabezona</t>
  </si>
  <si>
    <t>3 und</t>
  </si>
  <si>
    <t>Cebolla larga</t>
  </si>
  <si>
    <t>Risaralda</t>
  </si>
  <si>
    <t>Champiñón común</t>
  </si>
  <si>
    <t>Chata (Res)</t>
  </si>
  <si>
    <t>Chocolate en astillas</t>
  </si>
  <si>
    <t>Santander, Antioquia y Arauca</t>
  </si>
  <si>
    <t>Cholupa/gulupa</t>
  </si>
  <si>
    <t>Huila</t>
  </si>
  <si>
    <t>Chontaduro</t>
  </si>
  <si>
    <t>Chocó, Cauca y Valle del Cauca</t>
  </si>
  <si>
    <t>Chuguas</t>
  </si>
  <si>
    <t>Nariño,Cauca y Boyacá</t>
  </si>
  <si>
    <t>Cilantro</t>
  </si>
  <si>
    <t>Valle del Cauca</t>
  </si>
  <si>
    <t xml:space="preserve">Ciruela </t>
  </si>
  <si>
    <t>9 und</t>
  </si>
  <si>
    <t>Antioquia</t>
  </si>
  <si>
    <t>Reutilizables</t>
  </si>
  <si>
    <t>Coca-Cola original sin gas</t>
  </si>
  <si>
    <t>Coco</t>
  </si>
  <si>
    <t>Coliflor</t>
  </si>
  <si>
    <t>Color</t>
  </si>
  <si>
    <t>Chocó</t>
  </si>
  <si>
    <t>Comino</t>
  </si>
  <si>
    <t>Antioquia, Magdalena y Amazonas</t>
  </si>
  <si>
    <t>Corazón (Pollo)</t>
  </si>
  <si>
    <t>Costilla (Cerdo)</t>
  </si>
  <si>
    <t>Antioquia, Cundinamarca y Valle del Cauca</t>
  </si>
  <si>
    <t>Lácteos</t>
  </si>
  <si>
    <t xml:space="preserve">Crema de leche </t>
  </si>
  <si>
    <t>Cundinamarca</t>
  </si>
  <si>
    <t>Cubio</t>
  </si>
  <si>
    <t>Durazno Nacional</t>
  </si>
  <si>
    <t>Norte de Santander, Boyacá y Santander</t>
  </si>
  <si>
    <t>Ensalada (lechuga, tomate, cebolla, limón)</t>
  </si>
  <si>
    <t>Espagueti</t>
  </si>
  <si>
    <t>Espinaca</t>
  </si>
  <si>
    <t>Feijoa</t>
  </si>
  <si>
    <t>7 und</t>
  </si>
  <si>
    <t>Fresa</t>
  </si>
  <si>
    <t>20 und</t>
  </si>
  <si>
    <t>Cundinamarca y Antioquia</t>
  </si>
  <si>
    <t>Fríjol bola roja</t>
  </si>
  <si>
    <t>Fríjol caraota negro</t>
  </si>
  <si>
    <t>Frijoles cocinados</t>
  </si>
  <si>
    <t>Garbanzo</t>
  </si>
  <si>
    <t xml:space="preserve">Casanare </t>
  </si>
  <si>
    <t>Granadilla</t>
  </si>
  <si>
    <t>6 und</t>
  </si>
  <si>
    <t>Huila, Antioquia y Cundinamarca</t>
  </si>
  <si>
    <t>Grasa de cerdo</t>
  </si>
  <si>
    <t>Guanábana</t>
  </si>
  <si>
    <t>Guayaba</t>
  </si>
  <si>
    <t>Boyacá, Santander y Meta</t>
  </si>
  <si>
    <t>Habas</t>
  </si>
  <si>
    <t xml:space="preserve">Cundinamarca, Boyacá y Cauca </t>
  </si>
  <si>
    <t>Harina de achira</t>
  </si>
  <si>
    <t>Cundinamarca, Huila y Nariño</t>
  </si>
  <si>
    <t>Harina de maíz</t>
  </si>
  <si>
    <t>4 tz</t>
  </si>
  <si>
    <t xml:space="preserve">Cundinamarca y Boyacá </t>
  </si>
  <si>
    <t>Harina de trigo</t>
  </si>
  <si>
    <t>Huesos de pechuga de pollo</t>
  </si>
  <si>
    <t>Huevos</t>
  </si>
  <si>
    <t>Cundinamarca, Boyacá y Huila</t>
  </si>
  <si>
    <t>Jengibre</t>
  </si>
  <si>
    <t>Lata de atún</t>
  </si>
  <si>
    <t xml:space="preserve">Atlántico  </t>
  </si>
  <si>
    <t>Laurel</t>
  </si>
  <si>
    <t>Leche en polvo</t>
  </si>
  <si>
    <t>Antioquia, Boyacá y Cundinamarca</t>
  </si>
  <si>
    <t>Leche entera</t>
  </si>
  <si>
    <t>Lechuga Lisa</t>
  </si>
  <si>
    <t>Lenteja</t>
  </si>
  <si>
    <t xml:space="preserve">Limón </t>
  </si>
  <si>
    <t>15 und</t>
  </si>
  <si>
    <t xml:space="preserve">Santander  </t>
  </si>
  <si>
    <t>Lomo (Cerdo)</t>
  </si>
  <si>
    <t>Lomo (Res)</t>
  </si>
  <si>
    <t>Mandarina</t>
  </si>
  <si>
    <t xml:space="preserve">Mango </t>
  </si>
  <si>
    <t>Cundinamarca, Tolima y Magdalena</t>
  </si>
  <si>
    <t>Maní</t>
  </si>
  <si>
    <t>3/4 tz</t>
  </si>
  <si>
    <t>Boyacá, Tolima, Cauca y Nariño</t>
  </si>
  <si>
    <t>Mantequilla</t>
  </si>
  <si>
    <t>1 barra</t>
  </si>
  <si>
    <t xml:space="preserve">Manzana roja </t>
  </si>
  <si>
    <t>Boyacá, Antioquia y Santander</t>
  </si>
  <si>
    <t>Margarina</t>
  </si>
  <si>
    <t>Caquetá</t>
  </si>
  <si>
    <t>Mazorca amarilla desgranada</t>
  </si>
  <si>
    <t>Meta, Córdoba y Valle del Cauca</t>
  </si>
  <si>
    <t>Melón</t>
  </si>
  <si>
    <t>Cesar, Valle del Cauca y Bolívar</t>
  </si>
  <si>
    <t>Miel</t>
  </si>
  <si>
    <t>Meta, Antioquia y Sucre</t>
  </si>
  <si>
    <t>Mojarra</t>
  </si>
  <si>
    <t xml:space="preserve">Atlántico y Chocó  </t>
  </si>
  <si>
    <t>Mora Castilla</t>
  </si>
  <si>
    <t>Naranja Valencia</t>
  </si>
  <si>
    <t>Meta, Valle del Cauca y Quindío</t>
  </si>
  <si>
    <t>Orégano</t>
  </si>
  <si>
    <t>Pan rollo viejo</t>
  </si>
  <si>
    <t>Pan tajado</t>
  </si>
  <si>
    <t>Panela</t>
  </si>
  <si>
    <t>Boyacá, Santander y Valle del Cauca</t>
  </si>
  <si>
    <t>Papa criolla</t>
  </si>
  <si>
    <t>Cundinamarca y Nariño</t>
  </si>
  <si>
    <t>Papa criolla frita</t>
  </si>
  <si>
    <t xml:space="preserve">Papa Pastusa </t>
  </si>
  <si>
    <t>Papa Sabanera</t>
  </si>
  <si>
    <t>Papaya Maradol</t>
  </si>
  <si>
    <t>Atlántico, Meta y Santander</t>
  </si>
  <si>
    <t>Pasta cabello de ángel</t>
  </si>
  <si>
    <t>Pasta lasaña</t>
  </si>
  <si>
    <t>Pasta tornillos</t>
  </si>
  <si>
    <t>Pechuga (Pollo)</t>
  </si>
  <si>
    <t>Pega/cucayo de arroz</t>
  </si>
  <si>
    <t>Pepino cohombro</t>
  </si>
  <si>
    <t>Valle del Cauca y Santander</t>
  </si>
  <si>
    <t>Pera Nacional</t>
  </si>
  <si>
    <t>Boyacá, Huila y Santander </t>
  </si>
  <si>
    <t>Perejil liso</t>
  </si>
  <si>
    <t>Pescado seco</t>
  </si>
  <si>
    <t>Pimentón rojo</t>
  </si>
  <si>
    <t>Santander y Antioquia</t>
  </si>
  <si>
    <t>Pimienta negra molida</t>
  </si>
  <si>
    <t>Putumayo</t>
  </si>
  <si>
    <t>Piña Perolera</t>
  </si>
  <si>
    <t> Santander, Meta y Valle del Cauca</t>
  </si>
  <si>
    <t>Plátano Hartón</t>
  </si>
  <si>
    <t>Queso campesino</t>
  </si>
  <si>
    <t>Atlántico y Magdalena</t>
  </si>
  <si>
    <t>Queso costeño</t>
  </si>
  <si>
    <t>Atlántico, Bolívar y Magdalena</t>
  </si>
  <si>
    <t>Queso crema</t>
  </si>
  <si>
    <t>Cundinamarca, Boyacá y Risaralda</t>
  </si>
  <si>
    <t>Queso doble crema</t>
  </si>
  <si>
    <t>Cundinamarca y Caquetá</t>
  </si>
  <si>
    <t>Queso mozarella</t>
  </si>
  <si>
    <t>Queso paipa</t>
  </si>
  <si>
    <t>Remolacha</t>
  </si>
  <si>
    <t>Romero</t>
  </si>
  <si>
    <t>Sal</t>
  </si>
  <si>
    <t>Magdalena, Cundinamarca y Meta</t>
  </si>
  <si>
    <t>Suero costeño</t>
  </si>
  <si>
    <t>Tilapia</t>
  </si>
  <si>
    <t>Tinto trasnochado</t>
  </si>
  <si>
    <t>Tomate Cherry rojo</t>
  </si>
  <si>
    <t>Tomate chonto</t>
  </si>
  <si>
    <t>Antioquia y Norte de Santander</t>
  </si>
  <si>
    <t>Tomate de árbol rojo</t>
  </si>
  <si>
    <t>Antioquia, Boyacá y Caldas</t>
  </si>
  <si>
    <t>Tomillo</t>
  </si>
  <si>
    <t>Uchuva</t>
  </si>
  <si>
    <t>2 canasticas</t>
  </si>
  <si>
    <t>Boyacá, Antioquia y Cundinamarca</t>
  </si>
  <si>
    <t>Uva Isabella</t>
  </si>
  <si>
    <t>2 bandejas</t>
  </si>
  <si>
    <t xml:space="preserve">Valle del Cauca </t>
  </si>
  <si>
    <t>Uva Red Globe Nacional</t>
  </si>
  <si>
    <t>4 bandejas</t>
  </si>
  <si>
    <t>Valle del Cauca y Huila</t>
  </si>
  <si>
    <t>Uva verde</t>
  </si>
  <si>
    <t>3 bandejas</t>
  </si>
  <si>
    <t>Yuca</t>
  </si>
  <si>
    <t>Bolívar, Córdoba y Magdalena</t>
  </si>
  <si>
    <t>Zanahoria</t>
  </si>
  <si>
    <t xml:space="preserve">Cundinamarca, Boyacá y Nariño </t>
  </si>
  <si>
    <t>Zuchinni verde</t>
  </si>
  <si>
    <t>RECETA:</t>
  </si>
  <si>
    <t>CATEGORÍA:</t>
  </si>
  <si>
    <t>Recomendaciones nutricionales</t>
  </si>
  <si>
    <t>Proteína</t>
  </si>
  <si>
    <t>Carbohidratos</t>
  </si>
  <si>
    <t>Fibra</t>
  </si>
  <si>
    <t>Sodio</t>
  </si>
  <si>
    <t>Aporte Calórico por porción</t>
  </si>
  <si>
    <t>Digita tu receta</t>
  </si>
  <si>
    <t>PROCEDIMIENTO</t>
  </si>
  <si>
    <t>Número de porciones:</t>
  </si>
  <si>
    <t>INGREDIENTE</t>
  </si>
  <si>
    <t>CORTE, DETALLE</t>
  </si>
  <si>
    <t>CANTIDAD</t>
  </si>
  <si>
    <t>UNIDADES (g, ml, und)</t>
  </si>
  <si>
    <t>Presupuesto para 4 porciones</t>
  </si>
  <si>
    <t>Presupuesto Disponible</t>
  </si>
  <si>
    <t>Costo por porción</t>
  </si>
  <si>
    <t>N° de paso</t>
  </si>
  <si>
    <t>Ingredientes a utilizar</t>
  </si>
  <si>
    <t>Paso a paso</t>
  </si>
  <si>
    <t>ANÁLISIS: COSTOS, INVENTARIO Y APORTE NUTRICIONAL</t>
  </si>
  <si>
    <t>Nombre de la receta</t>
  </si>
  <si>
    <t>Categoría en la que participa</t>
  </si>
  <si>
    <t>PORCIONES</t>
  </si>
  <si>
    <t>INVENTARIO</t>
  </si>
  <si>
    <t>INGREDIENTE, DETALLE</t>
  </si>
  <si>
    <t>CANTIDAD (g, ml, und)</t>
  </si>
  <si>
    <t>PRECIO ($) POR g, ml, und</t>
  </si>
  <si>
    <t>COSTO CANTIDAD ($)</t>
  </si>
  <si>
    <t>CANTIDAD COMPRADA</t>
  </si>
  <si>
    <t>PORCENTAJE UTILIZADO PARA LA RECETA</t>
  </si>
  <si>
    <t>NÚMERO APROXIMADO DE VECES QUE ALCANZA PARA PREPARAR ESTA RECETA</t>
  </si>
  <si>
    <t>GRAMOS PRODUCIDOS APROX.</t>
  </si>
  <si>
    <t>LÍMITE DE PRESUPUESTO</t>
  </si>
  <si>
    <t>APORTE NUTRICIONAL</t>
  </si>
  <si>
    <t>CONTROL DE COSTOS</t>
  </si>
  <si>
    <t>MARGEN RECOMENDADO</t>
  </si>
  <si>
    <t>TU RECETA</t>
  </si>
  <si>
    <t>UNIDAD DE MEDIDA</t>
  </si>
  <si>
    <t>CANTIDAD PRODUCCIÓN RECETA APROX.</t>
  </si>
  <si>
    <t>MACRONUTRIENTES</t>
  </si>
  <si>
    <t>50 - 70%</t>
  </si>
  <si>
    <t>%</t>
  </si>
  <si>
    <t>NÚMERO DE PORCIONES</t>
  </si>
  <si>
    <t>Proteínas</t>
  </si>
  <si>
    <t>10 - 15%</t>
  </si>
  <si>
    <t>PESO POR PORCIÓN (g)</t>
  </si>
  <si>
    <t>30 - 35%</t>
  </si>
  <si>
    <t>COSTO PRODUCCIÓN RECETA</t>
  </si>
  <si>
    <t>MICRONUTRIENTES</t>
  </si>
  <si>
    <t xml:space="preserve">Fibra </t>
  </si>
  <si>
    <t>5 a 7 g por comida (En promedio son 5 comidas al día)</t>
  </si>
  <si>
    <t>g</t>
  </si>
  <si>
    <t>COSTO POR PORCIÓN</t>
  </si>
  <si>
    <t>440 a 460 mg por comida (En promedio son 5 comidas al día</t>
  </si>
  <si>
    <t>mg</t>
  </si>
  <si>
    <t>MÍNIMO APORTE</t>
  </si>
  <si>
    <t>MÁXIMO APORTE</t>
  </si>
  <si>
    <t>Aporte calórico total para 1 persona (cal/día):</t>
  </si>
  <si>
    <t xml:space="preserve"> </t>
  </si>
  <si>
    <t>Receta</t>
  </si>
  <si>
    <t>IINGREDIENTES</t>
  </si>
  <si>
    <t>Grasa</t>
  </si>
  <si>
    <t>Agua</t>
  </si>
  <si>
    <t xml:space="preserve">CAL TOTAL </t>
  </si>
  <si>
    <t>Nombre</t>
  </si>
  <si>
    <t>Peso en gramos (g)</t>
  </si>
  <si>
    <t>Peso g</t>
  </si>
  <si>
    <t>Cal</t>
  </si>
  <si>
    <t xml:space="preserve">Peso g </t>
  </si>
  <si>
    <t>mg/100</t>
  </si>
  <si>
    <t>mg/ g producto</t>
  </si>
  <si>
    <t>Receta total:</t>
  </si>
  <si>
    <t>Gasto Calórico Diario (Apróx.)</t>
  </si>
  <si>
    <t>cal/día</t>
  </si>
  <si>
    <t>Cantidad de fibra sugerida para adultos: 25g a 30g al día (mín 6.25g al almuerzo) (MinSalud, 2016).</t>
  </si>
  <si>
    <t>Cantidad de sodio sugerida para un adulto: Menos de 2300mg /día (máx 805mg al almuerzo) (MinSalud, 2016).</t>
  </si>
  <si>
    <t>Mínimo aporte calórico de</t>
  </si>
  <si>
    <t>Máximo aporte calórico de</t>
  </si>
  <si>
    <t>Aporte calórico propuesta para 1 persona</t>
  </si>
  <si>
    <t xml:space="preserve">Aporte calórico propuesta </t>
  </si>
  <si>
    <t>Porcentaje  en relación al peso del almuerzo</t>
  </si>
  <si>
    <t>Porcentaje en relación a las calorías del almuerzo</t>
  </si>
  <si>
    <t>Dieta equilibrada y saludable (Persona promedio)</t>
  </si>
  <si>
    <t>Rango promedio del aporte calórico de cada categoría sobre una dieta de 2000 cal/día</t>
  </si>
  <si>
    <t>% PROTEÍNA</t>
  </si>
  <si>
    <t>% kcal PROTEÍNA</t>
  </si>
  <si>
    <t>10-15%</t>
  </si>
  <si>
    <t>Desayuno</t>
  </si>
  <si>
    <t>20% a 25%</t>
  </si>
  <si>
    <t>%GRASA</t>
  </si>
  <si>
    <t>% kcal GRASA</t>
  </si>
  <si>
    <t>30-35%</t>
  </si>
  <si>
    <t>0 Desperdicio</t>
  </si>
  <si>
    <t>25% a 30%</t>
  </si>
  <si>
    <t>%CARBOHIDRATOS</t>
  </si>
  <si>
    <t>% kcal CARBOH</t>
  </si>
  <si>
    <t>50-70%</t>
  </si>
  <si>
    <t>Plato Fuerte</t>
  </si>
  <si>
    <t>% AGUA</t>
  </si>
  <si>
    <t>Snack</t>
  </si>
  <si>
    <t>15% a 17%</t>
  </si>
  <si>
    <t>% SAL</t>
  </si>
  <si>
    <t>TOTAL (%)</t>
  </si>
  <si>
    <t>¿Cómo debe ser mi receta? Debe ser una preparación que sea saludable, de saciedad, integre diferentes componentes (texturas, sabores, aromas, color, etc), sea atractiva (tanto para adultos como niños) y tenga una complejidad media (una manzana picada no cuenta como snack). Mira el siguiente ejemplo:</t>
  </si>
  <si>
    <t>Tostadas francesas con tomate, queso y espinaca</t>
  </si>
  <si>
    <t>RECETA / SUBRECETA</t>
  </si>
  <si>
    <t>La razón de estos ingredientes es porque cada uno aporta:</t>
  </si>
  <si>
    <t>Base</t>
  </si>
  <si>
    <t>Saciedad</t>
  </si>
  <si>
    <t>Relleno</t>
  </si>
  <si>
    <t>Tomate cherry rojo</t>
  </si>
  <si>
    <t>Salteados</t>
  </si>
  <si>
    <t>Color, frescura y sabor</t>
  </si>
  <si>
    <t>Julianas</t>
  </si>
  <si>
    <t>Triturado</t>
  </si>
  <si>
    <t>Sabor láctico, proteína animal y cremosidad</t>
  </si>
  <si>
    <t>Salsa</t>
  </si>
  <si>
    <t>Humedad</t>
  </si>
  <si>
    <t>Crocancia y color al pan</t>
  </si>
  <si>
    <t>Tostado y triturado</t>
  </si>
  <si>
    <t xml:space="preserve">Crocancia = textura </t>
  </si>
  <si>
    <t>Picado finamente</t>
  </si>
  <si>
    <t>Frescura</t>
  </si>
  <si>
    <t>Resalta sabores</t>
  </si>
  <si>
    <t>Límite de presupuesto:</t>
  </si>
  <si>
    <t>¿Cómo debo escribir el "Procedimiento" de mi receta?                       Observa la siguiente receta</t>
  </si>
  <si>
    <t>Pasta de Zucchini con pollo en salsa de mango y tomillo</t>
  </si>
  <si>
    <t>Plato fuerte</t>
  </si>
  <si>
    <t>Pasta</t>
  </si>
  <si>
    <t>Fideos estilo spaguetti</t>
  </si>
  <si>
    <t>Vegetales</t>
  </si>
  <si>
    <t>Rallada</t>
  </si>
  <si>
    <t>Pulpa</t>
  </si>
  <si>
    <t>Desmechado</t>
  </si>
  <si>
    <t>Zumo</t>
  </si>
  <si>
    <t>Deshojado</t>
  </si>
  <si>
    <t>Pollo</t>
  </si>
  <si>
    <t>Procedimiento</t>
  </si>
  <si>
    <t>Receta  / Subreceta</t>
  </si>
  <si>
    <t>Zucchini, aceite de oliva y maní.</t>
  </si>
  <si>
    <t>Lavar el zucchini con agua limpia.</t>
  </si>
  <si>
    <t>Cortarlo en una tabla verde a la mitad y con la ayuda de un rallador de verdura para pasta, pasar el zucchini dandole la forma de tiras tipo pasta.</t>
  </si>
  <si>
    <t>Agregarle sal a las tiras de zucchini, dejando reservar por 15 minutos.</t>
  </si>
  <si>
    <t>Pasados los 15 minutos, lavar muy bien con agua las tiras hasta quitar toda la sal agregada.</t>
  </si>
  <si>
    <t>Reservar la tiras previamente lavadas en un recipiente.</t>
  </si>
  <si>
    <t>Cebolla, zanahoria, pimentón y aceite de oliva</t>
  </si>
  <si>
    <t>Lavar la zanahoria, pimentón y cebolla con agua limpia.</t>
  </si>
  <si>
    <t>Cortar en una tabla de color verde la zanahoria y el pimentón en cubos de 3mm x 3mm (Corte Brunoise)</t>
  </si>
  <si>
    <t>Clasifica el paso a paso por cada subreceta para mayor organización a la hora de ejecutar una preparación.</t>
  </si>
  <si>
    <t>Cortar en la tabla verde la cebolla a la mitad dejando que cada mitad tenga un pedazo de la raíz, seguido a esto cortar cada mitad logrando obtener laminas de 1mm de grosor (plumas o medias lunas).</t>
  </si>
  <si>
    <t>En una sartén caliente, colocar el aceite de oliva y los vegetales a fuego alto por 4 minutos, mezclar constantemente.</t>
  </si>
  <si>
    <t>Reservar los vegetales en un recipiente.</t>
  </si>
  <si>
    <t>Pollo y sal</t>
  </si>
  <si>
    <t>Poner en una olla honda 150 ml de agua junto con el pollo, poner a fuego medio y dejar hervir, es decir, hasta observar burbujas en la superficie, dejar que el pollo se cocine por al menos 13 minutos o hasta que el pollo ya no este crudo.</t>
  </si>
  <si>
    <t>Ya cocinando el pollo y con la ayuda de dos tenedores deshilacharlo en hebras en una tabla de color amarillo.</t>
  </si>
  <si>
    <t>Reservarlo en un recipiente</t>
  </si>
  <si>
    <t>Mango, tomillo y sal</t>
  </si>
  <si>
    <t>En un sartén poner la pulpa del mango, junto con el tomillo, la harina de avena, la sal y el agua. Poner a calentar a fuego medio por aproximadamente 7 minutos, o hasta que la salsa se espese.</t>
  </si>
  <si>
    <t>Ya lista, retirla del fuego y colocarla en un recipiente aparte para reservar.</t>
  </si>
  <si>
    <t>Tener claros los ingredientes a utilizar en cada subreceta, evitará que olvides alguno.</t>
  </si>
  <si>
    <t>Parte fundamental para recrear una receta con éxito, depende de la precisión y detalle que se especifique en el paso a paso. Cada indicación debe ser clara, precisa y entendible, incluso para una persona que no sea muy experta en la cocina.</t>
  </si>
  <si>
    <t>¡Change It! VITAL CHALLENGE</t>
  </si>
  <si>
    <t>Esta columna te muestra cuantas veces puedes preparar nuevamente esa cantidad de comida con la cantidad comprada, por ejemplo, si compramos 30 huevos podemos recrear esta receta 8 veces.</t>
  </si>
  <si>
    <t>Montadito de arepa con porción de fruta y bebida</t>
  </si>
  <si>
    <t>Plato principal</t>
  </si>
  <si>
    <t>Frescos</t>
  </si>
  <si>
    <t>Cubos de 0,5cm</t>
  </si>
  <si>
    <t>Acompañamiento</t>
  </si>
  <si>
    <t>Manzana roja común</t>
  </si>
  <si>
    <t>En cuartos</t>
  </si>
  <si>
    <t>Banano común</t>
  </si>
  <si>
    <t>Rodajas de 3 mm</t>
  </si>
  <si>
    <t>Cubos de 2 cm</t>
  </si>
  <si>
    <t>Bebida Caliente</t>
  </si>
  <si>
    <t>Hidratada</t>
  </si>
  <si>
    <t>Bebida Fría</t>
  </si>
  <si>
    <t>Un manejo del inventario nos permite tener una correcta distribución del presupuesto, evitando desperdicios y gastos innecesarios.</t>
  </si>
  <si>
    <t>Aquí podrás llevar un control del presupuesto destinado para la receta de 4 porciones, en este caso de cumplio con el requisito del desafio.</t>
  </si>
  <si>
    <t>De acuerdo con el total de la cantidad producida y las cuatro porciones requeridas, este indicador te mostrará la cantidad (g) que llevará cada porción.</t>
  </si>
  <si>
    <t>A la hora de cocinar es importante tener claro que ingrediente compone cada parte de la preparación en su totalidad, esto te dará orden y no olvidarás ningún ingrediente.</t>
  </si>
  <si>
    <t>Ingredientes</t>
  </si>
  <si>
    <t>El consumo de sal es importante para mantener el equilibrio del agua en el organismo y del pH en la sangre, entre otros. Sin embargo su consumo en exceso es perjudicial para la salud, por esta razón, esta columna esta diseñada para llevar un control del sodio que aporta naturalmente algunos alimentos y la sal añadida al momento de cocinar.</t>
  </si>
  <si>
    <t>Es importante que el aporte calórico de tu receta no sea mayor a este porcentaje.</t>
  </si>
  <si>
    <t>Aporte calórico propuesta para 4 personas</t>
  </si>
  <si>
    <t>Es importante que la receta cuente con un buen aporte de fibra para mejorar la digestión del organismo.</t>
  </si>
  <si>
    <t>El objetivo es proporcionar una receta que mantenga los macronutrientes dentro del rango promedio, por ejemplo, en este caso los "Carbohidratos"  constituyen un 60% de la preparación y se encuentra dentro del rango recomendado (50-70%).</t>
  </si>
  <si>
    <t>El ideal es mantener el aporte dentro de este rango recomendado.</t>
  </si>
  <si>
    <t>Equipo:</t>
  </si>
  <si>
    <t>Escribe el nombre de tu equipo</t>
  </si>
  <si>
    <t>Nombres y Apellidos integrante 1</t>
  </si>
  <si>
    <t>Nombres y Apellidos integrante 2</t>
  </si>
  <si>
    <t>Nombres y Apellidos integrante 3</t>
  </si>
  <si>
    <t>Despliegue la lista y seleccione</t>
  </si>
  <si>
    <t>Escribe el nombre de tu receta</t>
  </si>
  <si>
    <t>Despliega la lista y selecciona</t>
  </si>
  <si>
    <t>UNIDADES (gramos, mililitros, unidades)</t>
  </si>
  <si>
    <t>Cubos</t>
  </si>
  <si>
    <t>Copia y pega el enlace de tu video</t>
  </si>
  <si>
    <t>Correo electrónico</t>
  </si>
  <si>
    <t>Celular</t>
  </si>
  <si>
    <t>HAZ CLIC ACÁ PARA DIGITAR LOS INGREDIENTES</t>
  </si>
  <si>
    <t>HAZ CLIC ACÁ PARA DIGITAR EL PROCEDIMIENTO</t>
  </si>
  <si>
    <t>Lista de ingredientes</t>
  </si>
  <si>
    <t>Nombres y Apellidos integrante 4</t>
  </si>
  <si>
    <t>Ingrediente(s) local(es) que puedes usar:</t>
  </si>
  <si>
    <t>INGREDIENTES LOCALES ENTRE LOS QUE PUEDES ESCOGER:</t>
  </si>
  <si>
    <t>(Ya escogí, no voy a usar más)</t>
  </si>
  <si>
    <t>Enlace de tu video contándonos tu receta (1 minuto máx.)</t>
  </si>
  <si>
    <t>para 4 personas</t>
  </si>
  <si>
    <t>Descripción del paso</t>
  </si>
  <si>
    <t>Haz click aquí para aprender sobre este ingrediente</t>
  </si>
  <si>
    <r>
      <t xml:space="preserve">Debes escoger mínimo </t>
    </r>
    <r>
      <rPr>
        <b/>
        <sz val="14"/>
        <color rgb="FFFF00FF"/>
        <rFont val="Calibri"/>
        <family val="2"/>
        <scheme val="minor"/>
      </rPr>
      <t>1</t>
    </r>
    <r>
      <rPr>
        <b/>
        <sz val="12"/>
        <color theme="3"/>
        <rFont val="Calibri"/>
        <family val="2"/>
        <scheme val="minor"/>
      </rPr>
      <t xml:space="preserve">, o máximo </t>
    </r>
    <r>
      <rPr>
        <b/>
        <sz val="14"/>
        <color rgb="FFFF00FF"/>
        <rFont val="Calibri"/>
        <family val="2"/>
        <scheme val="minor"/>
      </rPr>
      <t>3</t>
    </r>
    <r>
      <rPr>
        <b/>
        <sz val="12"/>
        <color theme="3"/>
        <rFont val="Calibri"/>
        <family val="2"/>
        <scheme val="minor"/>
      </rPr>
      <t xml:space="preserve"> ingredientes locales</t>
    </r>
  </si>
  <si>
    <t>vital.challenge@unisabana.edu.co</t>
  </si>
  <si>
    <t xml:space="preserve">*Si no abre tu aplicación de correo </t>
  </si>
  <si>
    <t>al hacer click sobre el botón,</t>
  </si>
  <si>
    <t>puedes enviar este archivo a:</t>
  </si>
  <si>
    <t>Ej: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</si>
</sst>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00_);_(&quot;$&quot;* \(#,##0.00\);_(&quot;$&quot;* &quot;-&quot;??_);_(@_)"/>
    <numFmt numFmtId="165" formatCode="0.0"/>
    <numFmt numFmtId="166" formatCode="_ * #,##0.00_ ;_ * \-#,##0.00_ ;_ * &quot;-&quot;??_ ;_ @_ "/>
    <numFmt numFmtId="167" formatCode="0.000"/>
    <numFmt numFmtId="168" formatCode="&quot;$&quot;\ #,##0.00"/>
    <numFmt numFmtId="169" formatCode="_-&quot;$&quot;* #,##0_-;\-&quot;$&quot;* #,##0_-;_-&quot;$&quot;* &quot;-&quot;_-;_-@_-"/>
    <numFmt numFmtId="170" formatCode="_-&quot;$&quot;* #,##0.00_-;\-&quot;$&quot;* #,##0.00_-;_-&quot;$&quot;* &quot;-&quot;_-;_-@_-"/>
    <numFmt numFmtId="171" formatCode="&quot;$&quot;#,##0.00"/>
    <numFmt numFmtId="172" formatCode="&quot;$&quot;\ #,##0"/>
    <numFmt numFmtId="173" formatCode="_-&quot;$&quot;\ * #,##0_-;\-&quot;$&quot;\ * #,##0_-;_-&quot;$&quot;\ * &quot;-&quot;??_-;_-@_-"/>
  </numFmts>
  <fonts count="86">
    <font>
      <sz val="11"/>
      <color theme="1"/>
      <name val="Calibri"/>
      <family val="2"/>
      <scheme val="minor"/>
    </font>
    <font>
      <sz val="11"/>
      <color theme="1"/>
      <name val="Calibri"/>
      <family val="2"/>
      <scheme val="minor"/>
    </font>
    <font>
      <sz val="10"/>
      <name val="Verdana"/>
      <family val="2"/>
    </font>
    <font>
      <sz val="10"/>
      <name val="Arial"/>
      <family val="2"/>
    </font>
    <font>
      <sz val="10"/>
      <name val="Calibri"/>
      <family val="2"/>
      <scheme val="minor"/>
    </font>
    <font>
      <b/>
      <sz val="22"/>
      <name val="Calibri"/>
      <family val="2"/>
      <scheme val="minor"/>
    </font>
    <font>
      <b/>
      <sz val="14"/>
      <name val="Calibri"/>
      <family val="2"/>
      <scheme val="minor"/>
    </font>
    <font>
      <sz val="12"/>
      <name val="Calibri"/>
      <family val="2"/>
      <scheme val="minor"/>
    </font>
    <font>
      <b/>
      <sz val="10"/>
      <name val="Calibri"/>
      <family val="2"/>
      <scheme val="minor"/>
    </font>
    <font>
      <sz val="9"/>
      <name val="Calibri"/>
      <family val="2"/>
      <scheme val="minor"/>
    </font>
    <font>
      <b/>
      <sz val="9"/>
      <name val="Calibri"/>
      <family val="2"/>
      <scheme val="minor"/>
    </font>
    <font>
      <b/>
      <sz val="10"/>
      <color rgb="FF231F20"/>
      <name val="Calibri"/>
      <family val="2"/>
      <scheme val="minor"/>
    </font>
    <font>
      <u/>
      <sz val="11"/>
      <color theme="10"/>
      <name val="Calibri"/>
      <family val="2"/>
      <scheme val="minor"/>
    </font>
    <font>
      <sz val="11"/>
      <color rgb="FF444444"/>
      <name val="Calibri"/>
      <family val="2"/>
    </font>
    <font>
      <b/>
      <sz val="22"/>
      <name val="Calibri"/>
      <family val="2"/>
    </font>
    <font>
      <b/>
      <sz val="14"/>
      <name val="Calibri"/>
      <family val="2"/>
    </font>
    <font>
      <b/>
      <sz val="20"/>
      <color theme="1"/>
      <name val="Calibri"/>
      <family val="2"/>
    </font>
    <font>
      <sz val="11"/>
      <color theme="1"/>
      <name val="Calibri"/>
      <family val="2"/>
    </font>
    <font>
      <sz val="14"/>
      <color theme="1"/>
      <name val="Calibri"/>
      <family val="2"/>
    </font>
    <font>
      <b/>
      <sz val="12"/>
      <color theme="1"/>
      <name val="Calibri"/>
      <family val="2"/>
    </font>
    <font>
      <b/>
      <sz val="16"/>
      <color theme="1"/>
      <name val="Calibri"/>
      <family val="2"/>
    </font>
    <font>
      <b/>
      <sz val="14"/>
      <color theme="1"/>
      <name val="Calibri"/>
      <family val="2"/>
    </font>
    <font>
      <sz val="12"/>
      <color theme="1"/>
      <name val="Calibri"/>
      <family val="2"/>
    </font>
    <font>
      <sz val="12"/>
      <color rgb="FF000000"/>
      <name val="Calibri"/>
      <family val="2"/>
    </font>
    <font>
      <sz val="9"/>
      <color theme="1"/>
      <name val="Calibri"/>
      <family val="2"/>
    </font>
    <font>
      <sz val="9"/>
      <color rgb="FF000000"/>
      <name val="Calibri"/>
      <family val="2"/>
    </font>
    <font>
      <sz val="9"/>
      <color rgb="FFFFFFFF"/>
      <name val="Calibri"/>
      <family val="2"/>
    </font>
    <font>
      <b/>
      <sz val="11"/>
      <color rgb="FF000000"/>
      <name val="Calibri"/>
      <family val="2"/>
    </font>
    <font>
      <b/>
      <sz val="11"/>
      <color theme="1"/>
      <name val="Calibri"/>
      <family val="2"/>
    </font>
    <font>
      <sz val="10"/>
      <name val="Calibri"/>
      <family val="2"/>
    </font>
    <font>
      <sz val="11"/>
      <color rgb="FF000000"/>
      <name val="Calibri"/>
      <family val="2"/>
    </font>
    <font>
      <sz val="11"/>
      <color rgb="FF548235"/>
      <name val="Calibri"/>
      <family val="2"/>
    </font>
    <font>
      <sz val="11"/>
      <color rgb="FF000000"/>
      <name val="Calibri"/>
      <family val="2"/>
      <scheme val="minor"/>
    </font>
    <font>
      <sz val="10"/>
      <color theme="1"/>
      <name val="Calibri"/>
      <family val="2"/>
    </font>
    <font>
      <b/>
      <sz val="13"/>
      <name val="Calibri"/>
      <family val="2"/>
      <scheme val="minor"/>
    </font>
    <font>
      <b/>
      <sz val="13"/>
      <name val="Calibri"/>
      <family val="2"/>
    </font>
    <font>
      <b/>
      <sz val="13"/>
      <color rgb="FF000000"/>
      <name val="Calibri"/>
      <family val="2"/>
      <scheme val="minor"/>
    </font>
    <font>
      <sz val="12"/>
      <name val="Avenir Next LT Pro"/>
      <family val="2"/>
    </font>
    <font>
      <sz val="12"/>
      <color rgb="FF444444"/>
      <name val="Avenir Next LT Pro"/>
      <family val="2"/>
    </font>
    <font>
      <b/>
      <sz val="12"/>
      <color theme="0"/>
      <name val="Avenir Next LT Pro"/>
      <family val="2"/>
    </font>
    <font>
      <sz val="12"/>
      <color theme="1"/>
      <name val="Avenir Next LT Pro"/>
      <family val="2"/>
    </font>
    <font>
      <b/>
      <sz val="12"/>
      <color theme="1"/>
      <name val="Avenir Next LT Pro"/>
      <family val="2"/>
    </font>
    <font>
      <sz val="12"/>
      <color rgb="FF000000"/>
      <name val="Avenir Next LT Pro"/>
      <family val="2"/>
    </font>
    <font>
      <sz val="12"/>
      <color theme="0"/>
      <name val="Avenir Next LT Pro"/>
      <family val="2"/>
    </font>
    <font>
      <sz val="12"/>
      <color rgb="FFFFFFFF"/>
      <name val="Avenir Next LT Pro"/>
      <family val="2"/>
    </font>
    <font>
      <b/>
      <sz val="12"/>
      <color rgb="FF000000"/>
      <name val="Avenir Next LT Pro"/>
      <family val="2"/>
    </font>
    <font>
      <sz val="12"/>
      <color rgb="FF548235"/>
      <name val="Avenir Next LT Pro"/>
      <family val="2"/>
    </font>
    <font>
      <b/>
      <sz val="11"/>
      <color theme="0"/>
      <name val="Calibri"/>
      <family val="2"/>
      <scheme val="minor"/>
    </font>
    <font>
      <b/>
      <sz val="11"/>
      <color theme="1"/>
      <name val="Calibri"/>
      <family val="2"/>
      <scheme val="minor"/>
    </font>
    <font>
      <sz val="12"/>
      <color theme="1"/>
      <name val="Calibri"/>
      <family val="2"/>
      <scheme val="minor"/>
    </font>
    <font>
      <b/>
      <sz val="48"/>
      <color theme="4" tint="-0.499984740745262"/>
      <name val="Calibri"/>
      <family val="2"/>
      <scheme val="minor"/>
    </font>
    <font>
      <b/>
      <sz val="16"/>
      <color theme="4" tint="-0.499984740745262"/>
      <name val="Calibri"/>
      <family val="2"/>
      <scheme val="minor"/>
    </font>
    <font>
      <b/>
      <sz val="14"/>
      <color theme="4" tint="-0.499984740745262"/>
      <name val="Calibri"/>
      <family val="2"/>
      <scheme val="minor"/>
    </font>
    <font>
      <b/>
      <sz val="14"/>
      <color theme="0"/>
      <name val="Calibri"/>
      <family val="2"/>
      <scheme val="minor"/>
    </font>
    <font>
      <b/>
      <sz val="12"/>
      <color theme="0"/>
      <name val="Calibri"/>
      <family val="2"/>
      <scheme val="minor"/>
    </font>
    <font>
      <sz val="12"/>
      <color rgb="FFFF0000"/>
      <name val="Calibri"/>
      <family val="2"/>
      <scheme val="minor"/>
    </font>
    <font>
      <b/>
      <sz val="12"/>
      <color theme="1"/>
      <name val="Calibri"/>
      <family val="2"/>
      <scheme val="minor"/>
    </font>
    <font>
      <u/>
      <sz val="11"/>
      <color theme="0"/>
      <name val="Calibri"/>
      <family val="2"/>
      <scheme val="minor"/>
    </font>
    <font>
      <sz val="11"/>
      <color rgb="FF202124"/>
      <name val="Calibri"/>
      <family val="2"/>
      <scheme val="minor"/>
    </font>
    <font>
      <sz val="11"/>
      <name val="Calibri"/>
      <family val="2"/>
      <scheme val="minor"/>
    </font>
    <font>
      <b/>
      <sz val="12"/>
      <name val="Calibri"/>
      <family val="2"/>
      <scheme val="minor"/>
    </font>
    <font>
      <sz val="12"/>
      <color theme="4" tint="-0.499984740745262"/>
      <name val="Calibri"/>
      <family val="2"/>
      <scheme val="minor"/>
    </font>
    <font>
      <b/>
      <sz val="20"/>
      <color theme="4" tint="-0.499984740745262"/>
      <name val="Calibri"/>
      <family val="2"/>
      <scheme val="minor"/>
    </font>
    <font>
      <b/>
      <sz val="16"/>
      <color theme="1"/>
      <name val="Calibri"/>
      <family val="2"/>
      <scheme val="minor"/>
    </font>
    <font>
      <b/>
      <sz val="12"/>
      <color theme="4" tint="-0.499984740745262"/>
      <name val="Calibri"/>
      <family val="2"/>
      <scheme val="minor"/>
    </font>
    <font>
      <b/>
      <sz val="14"/>
      <color theme="1"/>
      <name val="Calibri"/>
      <family val="2"/>
      <scheme val="minor"/>
    </font>
    <font>
      <sz val="12"/>
      <color rgb="FF000000"/>
      <name val="Calibri"/>
      <family val="2"/>
      <scheme val="minor"/>
    </font>
    <font>
      <b/>
      <sz val="20"/>
      <name val="Calibri"/>
      <family val="2"/>
      <scheme val="minor"/>
    </font>
    <font>
      <b/>
      <sz val="16"/>
      <name val="Calibri"/>
      <family val="2"/>
      <scheme val="minor"/>
    </font>
    <font>
      <sz val="12"/>
      <color rgb="FF444444"/>
      <name val="Calibri"/>
      <family val="2"/>
      <scheme val="minor"/>
    </font>
    <font>
      <sz val="12"/>
      <color theme="0"/>
      <name val="Calibri"/>
      <family val="2"/>
      <scheme val="minor"/>
    </font>
    <font>
      <b/>
      <sz val="12"/>
      <color rgb="FF231F20"/>
      <name val="Calibri"/>
      <family val="2"/>
      <scheme val="minor"/>
    </font>
    <font>
      <sz val="9"/>
      <color indexed="81"/>
      <name val="Tahoma"/>
      <family val="2"/>
    </font>
    <font>
      <b/>
      <sz val="9"/>
      <color indexed="81"/>
      <name val="Tahoma"/>
      <family val="2"/>
    </font>
    <font>
      <b/>
      <u/>
      <sz val="14"/>
      <color theme="3"/>
      <name val="Calibri"/>
      <family val="2"/>
      <scheme val="minor"/>
    </font>
    <font>
      <b/>
      <sz val="12"/>
      <color rgb="FFFF0000"/>
      <name val="Calibri"/>
      <family val="2"/>
      <scheme val="minor"/>
    </font>
    <font>
      <b/>
      <sz val="12"/>
      <color theme="3"/>
      <name val="Calibri"/>
      <family val="2"/>
      <scheme val="minor"/>
    </font>
    <font>
      <sz val="11"/>
      <color theme="3"/>
      <name val="Calibri"/>
      <family val="2"/>
      <scheme val="minor"/>
    </font>
    <font>
      <b/>
      <sz val="18"/>
      <color theme="4" tint="-0.499984740745262"/>
      <name val="Calibri"/>
      <family val="2"/>
      <scheme val="minor"/>
    </font>
    <font>
      <b/>
      <sz val="16"/>
      <color theme="0"/>
      <name val="Calibri"/>
      <family val="2"/>
      <scheme val="minor"/>
    </font>
    <font>
      <b/>
      <sz val="18"/>
      <color theme="0"/>
      <name val="Calibri"/>
      <family val="2"/>
      <scheme val="minor"/>
    </font>
    <font>
      <b/>
      <sz val="14"/>
      <color theme="3"/>
      <name val="Calibri"/>
      <family val="2"/>
      <scheme val="minor"/>
    </font>
    <font>
      <b/>
      <u/>
      <sz val="18"/>
      <color theme="3"/>
      <name val="Calibri"/>
      <family val="2"/>
      <scheme val="minor"/>
    </font>
    <font>
      <b/>
      <sz val="14"/>
      <color rgb="FFFF00FF"/>
      <name val="Calibri"/>
      <family val="2"/>
      <scheme val="minor"/>
    </font>
    <font>
      <b/>
      <u/>
      <sz val="12"/>
      <color theme="3"/>
      <name val="Calibri"/>
      <family val="2"/>
      <scheme val="minor"/>
    </font>
    <font>
      <b/>
      <sz val="52"/>
      <color theme="4" tint="-0.499984740745262"/>
      <name val="Calibri"/>
      <family val="2"/>
      <scheme val="minor"/>
    </font>
  </fonts>
  <fills count="25">
    <fill>
      <patternFill patternType="none"/>
    </fill>
    <fill>
      <patternFill patternType="gray125"/>
    </fill>
    <fill>
      <patternFill patternType="solid">
        <fgColor rgb="FFFFFF00"/>
        <bgColor indexed="64"/>
      </patternFill>
    </fill>
    <fill>
      <patternFill patternType="solid">
        <fgColor rgb="FFE2EFDA"/>
        <bgColor indexed="64"/>
      </patternFill>
    </fill>
    <fill>
      <patternFill patternType="solid">
        <fgColor rgb="FFFFC000"/>
        <bgColor indexed="64"/>
      </patternFill>
    </fill>
    <fill>
      <patternFill patternType="solid">
        <fgColor rgb="FFB4C6E7"/>
        <bgColor indexed="64"/>
      </patternFill>
    </fill>
    <fill>
      <patternFill patternType="solid">
        <fgColor rgb="FFF4B084"/>
        <bgColor indexed="64"/>
      </patternFill>
    </fill>
    <fill>
      <patternFill patternType="solid">
        <fgColor rgb="FF92D050"/>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rgb="FFFFD966"/>
        <bgColor indexed="64"/>
      </patternFill>
    </fill>
    <fill>
      <patternFill patternType="solid">
        <fgColor rgb="FFF8CBAD"/>
        <bgColor indexed="64"/>
      </patternFill>
    </fill>
    <fill>
      <patternFill patternType="solid">
        <fgColor rgb="FF8EA9DB"/>
        <bgColor indexed="64"/>
      </patternFill>
    </fill>
    <fill>
      <patternFill patternType="solid">
        <fgColor rgb="FFC6E0B4"/>
        <bgColor indexed="64"/>
      </patternFill>
    </fill>
    <fill>
      <patternFill patternType="solid">
        <fgColor rgb="FFFFF2CC"/>
        <bgColor indexed="64"/>
      </patternFill>
    </fill>
    <fill>
      <patternFill patternType="solid">
        <fgColor rgb="FF9BC2E6"/>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rgb="FFFF0000"/>
        <bgColor indexed="64"/>
      </patternFill>
    </fill>
    <fill>
      <patternFill patternType="solid">
        <fgColor theme="0" tint="-0.249977111117893"/>
        <bgColor indexed="64"/>
      </patternFill>
    </fill>
  </fills>
  <borders count="128">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style="medium">
        <color rgb="FF000000"/>
      </bottom>
      <diagonal/>
    </border>
    <border>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bottom/>
      <diagonal/>
    </border>
    <border>
      <left style="thin">
        <color rgb="FF000000"/>
      </left>
      <right/>
      <top/>
      <bottom/>
      <diagonal/>
    </border>
    <border>
      <left/>
      <right style="thin">
        <color rgb="FF000000"/>
      </right>
      <top style="thin">
        <color rgb="FF000000"/>
      </top>
      <bottom style="thin">
        <color rgb="FF000000"/>
      </bottom>
      <diagonal/>
    </border>
    <border>
      <left/>
      <right style="medium">
        <color rgb="FF000000"/>
      </right>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medium">
        <color rgb="FF000000"/>
      </left>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rgb="FF000000"/>
      </left>
      <right style="thin">
        <color rgb="FF000000"/>
      </right>
      <top style="thin">
        <color rgb="FF000000"/>
      </top>
      <bottom style="thin">
        <color rgb="FF000000"/>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thin">
        <color indexed="64"/>
      </right>
      <top/>
      <bottom style="medium">
        <color rgb="FF000000"/>
      </bottom>
      <diagonal/>
    </border>
    <border>
      <left style="thin">
        <color indexed="64"/>
      </left>
      <right/>
      <top/>
      <bottom style="medium">
        <color rgb="FF000000"/>
      </bottom>
      <diagonal/>
    </border>
    <border>
      <left style="thin">
        <color indexed="64"/>
      </left>
      <right style="medium">
        <color rgb="FF000000"/>
      </right>
      <top/>
      <bottom style="medium">
        <color rgb="FF000000"/>
      </bottom>
      <diagonal/>
    </border>
    <border>
      <left style="thin">
        <color indexed="64"/>
      </left>
      <right style="medium">
        <color rgb="FF000000"/>
      </right>
      <top style="medium">
        <color rgb="FF000000"/>
      </top>
      <bottom style="medium">
        <color rgb="FF000000"/>
      </bottom>
      <diagonal/>
    </border>
    <border>
      <left style="medium">
        <color rgb="FF000000"/>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thin">
        <color indexed="64"/>
      </left>
      <right style="medium">
        <color rgb="FF000000"/>
      </right>
      <top style="thin">
        <color indexed="64"/>
      </top>
      <bottom style="thin">
        <color indexed="64"/>
      </bottom>
      <diagonal/>
    </border>
    <border>
      <left style="thin">
        <color indexed="64"/>
      </left>
      <right style="medium">
        <color rgb="FF000000"/>
      </right>
      <top style="thin">
        <color indexed="64"/>
      </top>
      <bottom style="medium">
        <color rgb="FF000000"/>
      </bottom>
      <diagonal/>
    </border>
    <border>
      <left style="medium">
        <color rgb="FF000000"/>
      </left>
      <right/>
      <top/>
      <bottom/>
      <diagonal/>
    </border>
    <border>
      <left style="medium">
        <color rgb="FF000000"/>
      </left>
      <right/>
      <top/>
      <bottom style="medium">
        <color rgb="FF000000"/>
      </bottom>
      <diagonal/>
    </border>
    <border>
      <left style="thin">
        <color indexed="64"/>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thin">
        <color indexed="64"/>
      </right>
      <top style="thin">
        <color indexed="64"/>
      </top>
      <bottom style="medium">
        <color rgb="FF000000"/>
      </bottom>
      <diagonal/>
    </border>
    <border>
      <left style="medium">
        <color rgb="FF000000"/>
      </left>
      <right style="thin">
        <color indexed="64"/>
      </right>
      <top style="medium">
        <color rgb="FF000000"/>
      </top>
      <bottom/>
      <diagonal/>
    </border>
    <border>
      <left style="medium">
        <color rgb="FF000000"/>
      </left>
      <right/>
      <top/>
      <bottom style="thin">
        <color rgb="FF000000"/>
      </bottom>
      <diagonal/>
    </border>
    <border>
      <left/>
      <right/>
      <top style="thin">
        <color rgb="FF000000"/>
      </top>
      <bottom/>
      <diagonal/>
    </border>
    <border>
      <left style="medium">
        <color rgb="FF000000"/>
      </left>
      <right style="medium">
        <color rgb="FF000000"/>
      </right>
      <top style="medium">
        <color rgb="FF000000"/>
      </top>
      <bottom/>
      <diagonal/>
    </border>
    <border>
      <left style="medium">
        <color rgb="FF000000"/>
      </left>
      <right style="thin">
        <color rgb="FF000000"/>
      </right>
      <top/>
      <bottom style="medium">
        <color rgb="FF000000"/>
      </bottom>
      <diagonal/>
    </border>
    <border>
      <left/>
      <right/>
      <top/>
      <bottom style="medium">
        <color rgb="FF000000"/>
      </bottom>
      <diagonal/>
    </border>
    <border>
      <left style="thin">
        <color rgb="FF000000"/>
      </left>
      <right style="thin">
        <color rgb="FF000000"/>
      </right>
      <top/>
      <bottom style="medium">
        <color rgb="FF000000"/>
      </bottom>
      <diagonal/>
    </border>
    <border>
      <left style="medium">
        <color rgb="FF000000"/>
      </left>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bottom style="thin">
        <color indexed="64"/>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theme="0"/>
      </left>
      <right style="thin">
        <color theme="0"/>
      </right>
      <top style="thin">
        <color theme="0"/>
      </top>
      <bottom style="thin">
        <color theme="0"/>
      </bottom>
      <diagonal/>
    </border>
  </borders>
  <cellStyleXfs count="11">
    <xf numFmtId="0" fontId="0" fillId="0" borderId="0"/>
    <xf numFmtId="9" fontId="1" fillId="0" borderId="0" applyFont="0" applyFill="0" applyBorder="0" applyAlignment="0" applyProtection="0"/>
    <xf numFmtId="0" fontId="2" fillId="0" borderId="0"/>
    <xf numFmtId="43" fontId="1" fillId="0" borderId="0" applyFont="0" applyFill="0" applyBorder="0" applyAlignment="0" applyProtection="0"/>
    <xf numFmtId="41" fontId="3" fillId="0" borderId="0" applyFont="0" applyFill="0" applyBorder="0" applyAlignment="0" applyProtection="0"/>
    <xf numFmtId="169" fontId="3" fillId="0" borderId="0" applyFont="0" applyFill="0" applyBorder="0" applyAlignment="0" applyProtection="0"/>
    <xf numFmtId="42" fontId="3" fillId="0" borderId="0" applyFont="0" applyFill="0" applyBorder="0" applyAlignment="0" applyProtection="0"/>
    <xf numFmtId="164" fontId="3" fillId="0" borderId="0" applyFont="0" applyFill="0" applyBorder="0" applyAlignment="0" applyProtection="0"/>
    <xf numFmtId="0" fontId="12"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cellStyleXfs>
  <cellXfs count="728">
    <xf numFmtId="0" fontId="0" fillId="0" borderId="0" xfId="0"/>
    <xf numFmtId="168" fontId="4" fillId="16" borderId="15" xfId="2" applyNumberFormat="1" applyFont="1" applyFill="1" applyBorder="1" applyAlignment="1" applyProtection="1">
      <alignment horizontal="center"/>
      <protection hidden="1"/>
    </xf>
    <xf numFmtId="168" fontId="4" fillId="16" borderId="16" xfId="2" applyNumberFormat="1" applyFont="1" applyFill="1" applyBorder="1" applyAlignment="1" applyProtection="1">
      <alignment horizontal="center"/>
      <protection hidden="1"/>
    </xf>
    <xf numFmtId="168" fontId="4" fillId="16" borderId="61" xfId="2" applyNumberFormat="1" applyFont="1" applyFill="1" applyBorder="1" applyAlignment="1" applyProtection="1">
      <alignment horizontal="center"/>
      <protection hidden="1"/>
    </xf>
    <xf numFmtId="168" fontId="4" fillId="16" borderId="66" xfId="2" applyNumberFormat="1" applyFont="1" applyFill="1" applyBorder="1" applyAlignment="1" applyProtection="1">
      <alignment horizontal="center"/>
      <protection hidden="1"/>
    </xf>
    <xf numFmtId="0" fontId="13" fillId="16" borderId="59" xfId="0" applyFont="1" applyFill="1" applyBorder="1" applyAlignment="1" applyProtection="1">
      <alignment horizontal="center" vertical="center"/>
      <protection hidden="1"/>
    </xf>
    <xf numFmtId="10" fontId="4" fillId="16" borderId="15" xfId="2" applyNumberFormat="1" applyFont="1" applyFill="1" applyBorder="1" applyAlignment="1" applyProtection="1">
      <alignment horizontal="center" vertical="center"/>
      <protection hidden="1"/>
    </xf>
    <xf numFmtId="1" fontId="4" fillId="16" borderId="16" xfId="2" applyNumberFormat="1" applyFont="1" applyFill="1" applyBorder="1" applyAlignment="1" applyProtection="1">
      <alignment horizontal="center" vertical="center"/>
      <protection hidden="1"/>
    </xf>
    <xf numFmtId="0" fontId="4" fillId="0" borderId="0" xfId="2" applyFont="1" applyProtection="1">
      <protection hidden="1"/>
    </xf>
    <xf numFmtId="0" fontId="8" fillId="0" borderId="26" xfId="2" applyFont="1" applyBorder="1" applyProtection="1">
      <protection hidden="1"/>
    </xf>
    <xf numFmtId="0" fontId="8" fillId="0" borderId="3" xfId="2" applyFont="1" applyBorder="1" applyProtection="1">
      <protection hidden="1"/>
    </xf>
    <xf numFmtId="0" fontId="10" fillId="0" borderId="3" xfId="2" applyFont="1" applyBorder="1" applyAlignment="1" applyProtection="1">
      <alignment horizontal="right"/>
      <protection hidden="1"/>
    </xf>
    <xf numFmtId="168" fontId="8" fillId="11" borderId="3" xfId="2" applyNumberFormat="1" applyFont="1" applyFill="1" applyBorder="1" applyProtection="1">
      <protection hidden="1"/>
    </xf>
    <xf numFmtId="0" fontId="8" fillId="11" borderId="26" xfId="2" applyFont="1" applyFill="1" applyBorder="1" applyAlignment="1" applyProtection="1">
      <alignment horizontal="center"/>
      <protection hidden="1"/>
    </xf>
    <xf numFmtId="168" fontId="8" fillId="11" borderId="75" xfId="2" applyNumberFormat="1" applyFont="1" applyFill="1" applyBorder="1" applyAlignment="1" applyProtection="1">
      <alignment horizontal="center"/>
      <protection hidden="1"/>
    </xf>
    <xf numFmtId="0" fontId="11" fillId="10" borderId="68" xfId="2" applyFont="1" applyFill="1" applyBorder="1" applyAlignment="1" applyProtection="1">
      <alignment vertical="center" wrapText="1"/>
      <protection hidden="1"/>
    </xf>
    <xf numFmtId="166" fontId="4" fillId="10" borderId="69" xfId="2" applyNumberFormat="1" applyFont="1" applyFill="1" applyBorder="1" applyProtection="1">
      <protection hidden="1"/>
    </xf>
    <xf numFmtId="168" fontId="4" fillId="0" borderId="0" xfId="2" applyNumberFormat="1" applyFont="1" applyProtection="1">
      <protection hidden="1"/>
    </xf>
    <xf numFmtId="0" fontId="11" fillId="0" borderId="60" xfId="2" applyFont="1" applyBorder="1" applyAlignment="1" applyProtection="1">
      <alignment vertical="center" wrapText="1"/>
      <protection hidden="1"/>
    </xf>
    <xf numFmtId="0" fontId="8" fillId="0" borderId="0" xfId="2" applyFont="1" applyProtection="1">
      <protection hidden="1"/>
    </xf>
    <xf numFmtId="2" fontId="4" fillId="0" borderId="0" xfId="2" applyNumberFormat="1" applyFont="1" applyProtection="1">
      <protection hidden="1"/>
    </xf>
    <xf numFmtId="168" fontId="8" fillId="9" borderId="70" xfId="2" applyNumberFormat="1" applyFont="1" applyFill="1" applyBorder="1" applyProtection="1">
      <protection hidden="1"/>
    </xf>
    <xf numFmtId="0" fontId="11" fillId="0" borderId="62" xfId="2" applyFont="1" applyBorder="1" applyAlignment="1" applyProtection="1">
      <alignment vertical="center" wrapText="1"/>
      <protection hidden="1"/>
    </xf>
    <xf numFmtId="0" fontId="14" fillId="0" borderId="0" xfId="2" applyFont="1" applyProtection="1">
      <protection hidden="1"/>
    </xf>
    <xf numFmtId="0" fontId="5" fillId="0" borderId="0" xfId="2" applyFont="1" applyProtection="1">
      <protection hidden="1"/>
    </xf>
    <xf numFmtId="0" fontId="35" fillId="0" borderId="0" xfId="2" applyFont="1" applyFill="1" applyAlignment="1" applyProtection="1">
      <alignment horizontal="left" vertical="center" wrapText="1"/>
      <protection hidden="1"/>
    </xf>
    <xf numFmtId="0" fontId="15" fillId="0" borderId="0" xfId="2" applyFont="1" applyProtection="1">
      <protection hidden="1"/>
    </xf>
    <xf numFmtId="0" fontId="6" fillId="0" borderId="0" xfId="2" applyFont="1" applyProtection="1">
      <protection hidden="1"/>
    </xf>
    <xf numFmtId="0" fontId="7" fillId="0" borderId="0" xfId="2" applyFont="1" applyProtection="1">
      <protection hidden="1"/>
    </xf>
    <xf numFmtId="0" fontId="4" fillId="0" borderId="15" xfId="2" applyFont="1" applyBorder="1" applyProtection="1">
      <protection hidden="1"/>
    </xf>
    <xf numFmtId="0" fontId="4" fillId="0" borderId="0" xfId="2" applyFont="1" applyBorder="1" applyProtection="1">
      <protection hidden="1"/>
    </xf>
    <xf numFmtId="0" fontId="4" fillId="0" borderId="0" xfId="2" applyFont="1" applyFill="1" applyBorder="1" applyProtection="1">
      <protection hidden="1"/>
    </xf>
    <xf numFmtId="0" fontId="8" fillId="0" borderId="77" xfId="2" applyFont="1" applyBorder="1" applyProtection="1">
      <protection hidden="1"/>
    </xf>
    <xf numFmtId="166" fontId="4" fillId="8" borderId="74" xfId="2" applyNumberFormat="1" applyFont="1" applyFill="1" applyBorder="1" applyProtection="1">
      <protection hidden="1"/>
    </xf>
    <xf numFmtId="0" fontId="8" fillId="0" borderId="0" xfId="2" applyFont="1" applyBorder="1" applyProtection="1">
      <protection hidden="1"/>
    </xf>
    <xf numFmtId="0" fontId="9" fillId="0" borderId="0" xfId="2" applyFont="1" applyProtection="1">
      <protection hidden="1"/>
    </xf>
    <xf numFmtId="0" fontId="8" fillId="10" borderId="11" xfId="2" applyFont="1" applyFill="1" applyBorder="1" applyAlignment="1" applyProtection="1">
      <alignment horizontal="center" vertical="center"/>
      <protection hidden="1"/>
    </xf>
    <xf numFmtId="0" fontId="8" fillId="10" borderId="46" xfId="2" applyFont="1" applyFill="1" applyBorder="1" applyAlignment="1" applyProtection="1">
      <alignment horizontal="center" vertical="center" wrapText="1"/>
      <protection hidden="1"/>
    </xf>
    <xf numFmtId="0" fontId="8" fillId="10" borderId="12" xfId="2" applyFont="1" applyFill="1" applyBorder="1" applyAlignment="1" applyProtection="1">
      <alignment horizontal="center" vertical="center" wrapText="1"/>
      <protection hidden="1"/>
    </xf>
    <xf numFmtId="0" fontId="8" fillId="10" borderId="13" xfId="2" applyFont="1" applyFill="1" applyBorder="1" applyAlignment="1" applyProtection="1">
      <alignment horizontal="center" vertical="center" wrapText="1"/>
      <protection hidden="1"/>
    </xf>
    <xf numFmtId="0" fontId="9" fillId="0" borderId="0" xfId="2" applyFont="1" applyAlignment="1" applyProtection="1">
      <alignment wrapText="1"/>
      <protection hidden="1"/>
    </xf>
    <xf numFmtId="0" fontId="10" fillId="0" borderId="0" xfId="2" applyFont="1" applyFill="1" applyBorder="1" applyAlignment="1" applyProtection="1">
      <alignment horizontal="center" vertical="center" wrapText="1"/>
      <protection hidden="1"/>
    </xf>
    <xf numFmtId="0" fontId="4" fillId="0" borderId="25" xfId="2" applyFont="1" applyBorder="1" applyAlignment="1" applyProtection="1">
      <alignment horizontal="center"/>
      <protection hidden="1"/>
    </xf>
    <xf numFmtId="167" fontId="4" fillId="0" borderId="19" xfId="2" applyNumberFormat="1" applyFont="1" applyBorder="1" applyAlignment="1" applyProtection="1">
      <alignment horizontal="center"/>
      <protection hidden="1"/>
    </xf>
    <xf numFmtId="167" fontId="4" fillId="0" borderId="15" xfId="2" applyNumberFormat="1" applyFont="1" applyBorder="1" applyAlignment="1" applyProtection="1">
      <alignment horizontal="center"/>
      <protection hidden="1"/>
    </xf>
    <xf numFmtId="0" fontId="4" fillId="8" borderId="15" xfId="2" applyFont="1" applyFill="1" applyBorder="1" applyAlignment="1" applyProtection="1">
      <alignment horizontal="center"/>
      <protection hidden="1"/>
    </xf>
    <xf numFmtId="165" fontId="4" fillId="0" borderId="15" xfId="2" applyNumberFormat="1" applyFont="1" applyBorder="1" applyAlignment="1" applyProtection="1">
      <alignment horizontal="center"/>
      <protection hidden="1"/>
    </xf>
    <xf numFmtId="168" fontId="4" fillId="8" borderId="15" xfId="2" applyNumberFormat="1" applyFont="1" applyFill="1" applyBorder="1" applyAlignment="1" applyProtection="1">
      <alignment horizontal="center"/>
      <protection hidden="1"/>
    </xf>
    <xf numFmtId="168" fontId="4" fillId="8" borderId="16" xfId="2" applyNumberFormat="1" applyFont="1" applyFill="1" applyBorder="1" applyAlignment="1" applyProtection="1">
      <alignment horizontal="center"/>
      <protection hidden="1"/>
    </xf>
    <xf numFmtId="10" fontId="4" fillId="2" borderId="0" xfId="2" applyNumberFormat="1" applyFont="1" applyFill="1" applyBorder="1" applyAlignment="1" applyProtection="1">
      <alignment horizontal="center" vertical="center"/>
      <protection hidden="1"/>
    </xf>
    <xf numFmtId="1" fontId="4" fillId="0" borderId="0" xfId="2" applyNumberFormat="1" applyFont="1" applyFill="1" applyBorder="1" applyAlignment="1" applyProtection="1">
      <alignment horizontal="center" vertical="center"/>
      <protection hidden="1"/>
    </xf>
    <xf numFmtId="0" fontId="4" fillId="0" borderId="59" xfId="2" applyFont="1" applyBorder="1" applyAlignment="1" applyProtection="1">
      <alignment horizontal="center"/>
      <protection hidden="1"/>
    </xf>
    <xf numFmtId="0" fontId="4" fillId="0" borderId="19" xfId="2" applyFont="1" applyBorder="1" applyAlignment="1" applyProtection="1">
      <alignment horizontal="center"/>
      <protection hidden="1"/>
    </xf>
    <xf numFmtId="0" fontId="4" fillId="0" borderId="15" xfId="2" applyFont="1" applyBorder="1" applyAlignment="1" applyProtection="1">
      <alignment horizontal="center"/>
      <protection hidden="1"/>
    </xf>
    <xf numFmtId="1" fontId="4" fillId="0" borderId="0" xfId="2" applyNumberFormat="1" applyFont="1" applyBorder="1" applyAlignment="1" applyProtection="1">
      <alignment horizontal="center" vertical="center"/>
      <protection hidden="1"/>
    </xf>
    <xf numFmtId="0" fontId="4" fillId="0" borderId="22" xfId="2" applyFont="1" applyBorder="1" applyAlignment="1" applyProtection="1">
      <alignment horizontal="center"/>
      <protection hidden="1"/>
    </xf>
    <xf numFmtId="0" fontId="4" fillId="0" borderId="41" xfId="2" applyFont="1" applyBorder="1" applyAlignment="1" applyProtection="1">
      <alignment horizontal="center"/>
      <protection hidden="1"/>
    </xf>
    <xf numFmtId="0" fontId="4" fillId="0" borderId="23" xfId="2" applyFont="1" applyBorder="1" applyAlignment="1" applyProtection="1">
      <alignment horizontal="center"/>
      <protection hidden="1"/>
    </xf>
    <xf numFmtId="165" fontId="4" fillId="0" borderId="23" xfId="2" applyNumberFormat="1" applyFont="1" applyBorder="1" applyAlignment="1" applyProtection="1">
      <alignment horizontal="center"/>
      <protection hidden="1"/>
    </xf>
    <xf numFmtId="168" fontId="4" fillId="8" borderId="24" xfId="2" applyNumberFormat="1" applyFont="1" applyFill="1" applyBorder="1" applyAlignment="1" applyProtection="1">
      <alignment horizontal="center"/>
      <protection hidden="1"/>
    </xf>
    <xf numFmtId="167" fontId="4" fillId="0" borderId="0" xfId="2" applyNumberFormat="1" applyFont="1" applyProtection="1">
      <protection hidden="1"/>
    </xf>
    <xf numFmtId="165" fontId="4" fillId="0" borderId="28" xfId="2" applyNumberFormat="1" applyFont="1" applyBorder="1" applyAlignment="1" applyProtection="1">
      <alignment horizontal="center"/>
      <protection hidden="1"/>
    </xf>
    <xf numFmtId="172" fontId="8" fillId="9" borderId="67" xfId="2" applyNumberFormat="1" applyFont="1" applyFill="1" applyBorder="1" applyAlignment="1" applyProtection="1">
      <alignment horizontal="center" vertical="center"/>
      <protection hidden="1"/>
    </xf>
    <xf numFmtId="166" fontId="8" fillId="8" borderId="70" xfId="4" applyNumberFormat="1" applyFont="1" applyFill="1" applyBorder="1" applyProtection="1">
      <protection hidden="1"/>
    </xf>
    <xf numFmtId="0" fontId="4" fillId="0" borderId="0" xfId="2" applyFont="1" applyFill="1" applyProtection="1">
      <protection hidden="1"/>
    </xf>
    <xf numFmtId="168" fontId="4" fillId="0" borderId="0" xfId="2" applyNumberFormat="1" applyFont="1" applyFill="1" applyProtection="1">
      <protection hidden="1"/>
    </xf>
    <xf numFmtId="0" fontId="11" fillId="13" borderId="60" xfId="2" applyFont="1" applyFill="1" applyBorder="1" applyAlignment="1" applyProtection="1">
      <alignment vertical="center" wrapText="1"/>
      <protection hidden="1"/>
    </xf>
    <xf numFmtId="43" fontId="4" fillId="13" borderId="70" xfId="3" applyFont="1" applyFill="1" applyBorder="1" applyProtection="1">
      <protection hidden="1"/>
    </xf>
    <xf numFmtId="0" fontId="8" fillId="0" borderId="0" xfId="2" applyFont="1" applyFill="1" applyProtection="1">
      <protection hidden="1"/>
    </xf>
    <xf numFmtId="2" fontId="4" fillId="0" borderId="0" xfId="2" applyNumberFormat="1" applyFont="1" applyFill="1" applyProtection="1">
      <protection hidden="1"/>
    </xf>
    <xf numFmtId="0" fontId="4" fillId="0" borderId="0" xfId="2" applyFont="1" applyFill="1" applyAlignment="1" applyProtection="1">
      <alignment vertical="center" wrapText="1"/>
      <protection hidden="1"/>
    </xf>
    <xf numFmtId="170" fontId="4" fillId="0" borderId="71" xfId="5" applyNumberFormat="1" applyFont="1" applyBorder="1" applyProtection="1">
      <protection hidden="1"/>
    </xf>
    <xf numFmtId="0" fontId="4" fillId="0" borderId="0" xfId="2" applyFont="1" applyAlignment="1" applyProtection="1">
      <alignment horizontal="left" vertical="top" wrapText="1"/>
      <protection hidden="1"/>
    </xf>
    <xf numFmtId="0" fontId="36" fillId="0" borderId="0" xfId="2" applyFont="1" applyFill="1" applyAlignment="1" applyProtection="1">
      <alignment horizontal="left" vertical="center" wrapText="1"/>
      <protection hidden="1"/>
    </xf>
    <xf numFmtId="0" fontId="6" fillId="0" borderId="0" xfId="2" applyFont="1" applyAlignment="1" applyProtection="1">
      <alignment vertical="center"/>
      <protection hidden="1"/>
    </xf>
    <xf numFmtId="0" fontId="10" fillId="5" borderId="59" xfId="2" applyFont="1" applyFill="1" applyBorder="1" applyAlignment="1" applyProtection="1">
      <alignment horizontal="center" vertical="center" wrapText="1"/>
      <protection hidden="1"/>
    </xf>
    <xf numFmtId="0" fontId="10" fillId="5" borderId="15" xfId="2" applyFont="1" applyFill="1" applyBorder="1" applyAlignment="1" applyProtection="1">
      <alignment horizontal="center" vertical="center" wrapText="1"/>
      <protection hidden="1"/>
    </xf>
    <xf numFmtId="0" fontId="10" fillId="5" borderId="16" xfId="2" applyFont="1" applyFill="1" applyBorder="1" applyAlignment="1" applyProtection="1">
      <alignment horizontal="center" vertical="center" wrapText="1"/>
      <protection hidden="1"/>
    </xf>
    <xf numFmtId="0" fontId="4" fillId="16" borderId="15" xfId="2" applyFont="1" applyFill="1" applyBorder="1" applyAlignment="1" applyProtection="1">
      <alignment horizontal="center"/>
      <protection hidden="1"/>
    </xf>
    <xf numFmtId="0" fontId="4" fillId="0" borderId="58" xfId="2" applyFont="1" applyBorder="1" applyAlignment="1" applyProtection="1">
      <alignment horizontal="center"/>
      <protection hidden="1"/>
    </xf>
    <xf numFmtId="0" fontId="4" fillId="0" borderId="52" xfId="2" applyFont="1" applyBorder="1" applyAlignment="1" applyProtection="1">
      <alignment horizontal="center"/>
      <protection hidden="1"/>
    </xf>
    <xf numFmtId="165" fontId="4" fillId="0" borderId="52" xfId="2" applyNumberFormat="1" applyFont="1" applyBorder="1" applyAlignment="1" applyProtection="1">
      <alignment horizontal="center"/>
      <protection hidden="1"/>
    </xf>
    <xf numFmtId="0" fontId="4" fillId="0" borderId="76" xfId="2" applyFont="1" applyBorder="1" applyAlignment="1" applyProtection="1">
      <alignment horizontal="center"/>
      <protection hidden="1"/>
    </xf>
    <xf numFmtId="0" fontId="4" fillId="0" borderId="63" xfId="2" applyFont="1" applyBorder="1" applyAlignment="1" applyProtection="1">
      <alignment horizontal="center"/>
      <protection hidden="1"/>
    </xf>
    <xf numFmtId="165" fontId="4" fillId="0" borderId="63" xfId="2" applyNumberFormat="1" applyFont="1" applyBorder="1" applyAlignment="1" applyProtection="1">
      <alignment horizontal="center"/>
      <protection hidden="1"/>
    </xf>
    <xf numFmtId="0" fontId="8" fillId="10" borderId="92" xfId="2" applyFont="1" applyFill="1" applyBorder="1" applyAlignment="1" applyProtection="1">
      <alignment horizontal="center"/>
      <protection hidden="1"/>
    </xf>
    <xf numFmtId="0" fontId="8" fillId="10" borderId="93" xfId="2" applyFont="1" applyFill="1" applyBorder="1" applyAlignment="1" applyProtection="1">
      <alignment vertical="center" wrapText="1"/>
      <protection hidden="1"/>
    </xf>
    <xf numFmtId="0" fontId="8" fillId="10" borderId="93" xfId="2" applyFont="1" applyFill="1" applyBorder="1" applyAlignment="1" applyProtection="1">
      <protection hidden="1"/>
    </xf>
    <xf numFmtId="0" fontId="4" fillId="0" borderId="11" xfId="2" applyFont="1" applyBorder="1" applyAlignment="1" applyProtection="1">
      <alignment horizontal="center" vertical="center"/>
      <protection hidden="1"/>
    </xf>
    <xf numFmtId="0" fontId="4" fillId="0" borderId="12" xfId="2" applyFont="1" applyFill="1" applyBorder="1" applyAlignment="1" applyProtection="1">
      <alignment horizontal="center" vertical="center" wrapText="1"/>
      <protection hidden="1"/>
    </xf>
    <xf numFmtId="0" fontId="4" fillId="0" borderId="12" xfId="2" applyFont="1" applyFill="1" applyBorder="1" applyAlignment="1" applyProtection="1">
      <alignment horizontal="left" vertical="center"/>
      <protection hidden="1"/>
    </xf>
    <xf numFmtId="0" fontId="4" fillId="0" borderId="59" xfId="2" applyFont="1" applyBorder="1" applyAlignment="1" applyProtection="1">
      <alignment horizontal="center" vertical="center"/>
      <protection hidden="1"/>
    </xf>
    <xf numFmtId="0" fontId="4" fillId="0" borderId="15" xfId="2" applyFont="1" applyFill="1" applyBorder="1" applyAlignment="1" applyProtection="1">
      <alignment horizontal="center" vertical="center" wrapText="1"/>
      <protection hidden="1"/>
    </xf>
    <xf numFmtId="0" fontId="4" fillId="0" borderId="15" xfId="2" applyFont="1" applyFill="1" applyBorder="1" applyAlignment="1" applyProtection="1">
      <alignment horizontal="left" vertical="center"/>
      <protection hidden="1"/>
    </xf>
    <xf numFmtId="0" fontId="4" fillId="0" borderId="15" xfId="2" applyFont="1" applyBorder="1" applyAlignment="1" applyProtection="1">
      <alignment horizontal="center" vertical="center"/>
      <protection hidden="1"/>
    </xf>
    <xf numFmtId="0" fontId="4" fillId="0" borderId="22" xfId="2" applyFont="1" applyBorder="1" applyAlignment="1" applyProtection="1">
      <alignment horizontal="center" vertical="center"/>
      <protection hidden="1"/>
    </xf>
    <xf numFmtId="0" fontId="4" fillId="0" borderId="23" xfId="2" applyFont="1" applyBorder="1" applyAlignment="1" applyProtection="1">
      <alignment horizontal="center" vertical="center"/>
      <protection hidden="1"/>
    </xf>
    <xf numFmtId="0" fontId="4" fillId="0" borderId="23" xfId="2" applyFont="1" applyFill="1" applyBorder="1" applyAlignment="1" applyProtection="1">
      <alignment horizontal="left" vertical="center"/>
      <protection hidden="1"/>
    </xf>
    <xf numFmtId="0" fontId="4" fillId="0" borderId="25" xfId="2" applyFont="1" applyBorder="1" applyAlignment="1" applyProtection="1">
      <alignment horizontal="center" vertical="center"/>
      <protection hidden="1"/>
    </xf>
    <xf numFmtId="0" fontId="4" fillId="0" borderId="87" xfId="2" applyFont="1" applyBorder="1" applyAlignment="1" applyProtection="1">
      <alignment horizontal="center" vertical="center"/>
      <protection hidden="1"/>
    </xf>
    <xf numFmtId="0" fontId="4" fillId="0" borderId="87" xfId="2" applyFont="1" applyBorder="1" applyAlignment="1" applyProtection="1">
      <alignment horizontal="left" vertical="center" wrapText="1"/>
      <protection hidden="1"/>
    </xf>
    <xf numFmtId="0" fontId="4" fillId="0" borderId="15" xfId="2" applyFont="1" applyBorder="1" applyAlignment="1" applyProtection="1">
      <alignment horizontal="left" vertical="center" wrapText="1"/>
      <protection hidden="1"/>
    </xf>
    <xf numFmtId="0" fontId="4" fillId="0" borderId="86" xfId="2" applyFont="1" applyBorder="1" applyAlignment="1" applyProtection="1">
      <alignment horizontal="center" vertical="center"/>
      <protection hidden="1"/>
    </xf>
    <xf numFmtId="0" fontId="4" fillId="0" borderId="85" xfId="2" applyFont="1" applyBorder="1" applyAlignment="1" applyProtection="1">
      <alignment horizontal="center" vertical="center"/>
      <protection hidden="1"/>
    </xf>
    <xf numFmtId="0" fontId="4" fillId="0" borderId="85" xfId="2" applyFont="1" applyBorder="1" applyAlignment="1" applyProtection="1">
      <alignment horizontal="left" vertical="center" wrapText="1"/>
      <protection hidden="1"/>
    </xf>
    <xf numFmtId="0" fontId="4" fillId="0" borderId="6" xfId="2" applyFont="1" applyBorder="1" applyAlignment="1" applyProtection="1">
      <alignment horizontal="center" vertical="center"/>
      <protection hidden="1"/>
    </xf>
    <xf numFmtId="0" fontId="4" fillId="0" borderId="7" xfId="2" applyFont="1" applyBorder="1" applyAlignment="1" applyProtection="1">
      <alignment horizontal="center" vertical="center"/>
      <protection hidden="1"/>
    </xf>
    <xf numFmtId="0" fontId="4" fillId="0" borderId="7" xfId="2" applyFont="1" applyBorder="1" applyAlignment="1" applyProtection="1">
      <alignment horizontal="left" vertical="center" wrapText="1"/>
      <protection hidden="1"/>
    </xf>
    <xf numFmtId="0" fontId="4" fillId="0" borderId="15" xfId="2" applyFont="1" applyBorder="1" applyAlignment="1" applyProtection="1">
      <alignment horizontal="left" vertical="center"/>
      <protection hidden="1"/>
    </xf>
    <xf numFmtId="0" fontId="4" fillId="0" borderId="23" xfId="2" applyFont="1" applyBorder="1" applyAlignment="1" applyProtection="1">
      <alignment horizontal="left" vertical="center"/>
      <protection hidden="1"/>
    </xf>
    <xf numFmtId="0" fontId="4" fillId="0" borderId="87" xfId="2" applyFont="1" applyBorder="1" applyAlignment="1" applyProtection="1">
      <alignment horizontal="left" vertical="center"/>
      <protection hidden="1"/>
    </xf>
    <xf numFmtId="0" fontId="4" fillId="0" borderId="0" xfId="2" applyFont="1" applyAlignment="1" applyProtection="1">
      <alignment horizontal="left" vertical="center"/>
      <protection hidden="1"/>
    </xf>
    <xf numFmtId="0" fontId="17" fillId="0" borderId="0" xfId="0" applyFont="1" applyAlignment="1" applyProtection="1">
      <alignment horizontal="center" vertical="center"/>
      <protection hidden="1"/>
    </xf>
    <xf numFmtId="0" fontId="0" fillId="0" borderId="0" xfId="0" applyFont="1" applyProtection="1">
      <protection hidden="1"/>
    </xf>
    <xf numFmtId="0" fontId="16" fillId="0" borderId="0" xfId="0" applyFont="1" applyAlignment="1" applyProtection="1">
      <alignment vertical="center"/>
      <protection hidden="1"/>
    </xf>
    <xf numFmtId="0" fontId="18" fillId="0" borderId="0" xfId="0" applyFont="1" applyAlignment="1" applyProtection="1">
      <alignment horizontal="center" vertical="center"/>
      <protection hidden="1"/>
    </xf>
    <xf numFmtId="0" fontId="21" fillId="0" borderId="0" xfId="0" applyFont="1" applyAlignment="1" applyProtection="1">
      <alignment horizontal="center" vertical="center"/>
      <protection hidden="1"/>
    </xf>
    <xf numFmtId="0" fontId="21" fillId="0" borderId="0" xfId="0" applyFont="1" applyAlignment="1" applyProtection="1">
      <alignment vertical="center" wrapText="1"/>
      <protection hidden="1"/>
    </xf>
    <xf numFmtId="0" fontId="19" fillId="0" borderId="10" xfId="0" applyFont="1" applyBorder="1" applyAlignment="1" applyProtection="1">
      <alignment horizontal="center" vertical="center"/>
      <protection hidden="1"/>
    </xf>
    <xf numFmtId="0" fontId="19" fillId="0" borderId="9" xfId="0" applyFont="1" applyBorder="1" applyAlignment="1" applyProtection="1">
      <alignment horizontal="center" vertical="center"/>
      <protection hidden="1"/>
    </xf>
    <xf numFmtId="0" fontId="19" fillId="0" borderId="6" xfId="0" applyFont="1" applyBorder="1" applyAlignment="1" applyProtection="1">
      <alignment horizontal="center" vertical="center"/>
      <protection hidden="1"/>
    </xf>
    <xf numFmtId="0" fontId="19" fillId="0" borderId="7" xfId="0" applyFont="1" applyBorder="1" applyAlignment="1" applyProtection="1">
      <alignment horizontal="center" vertical="center"/>
      <protection hidden="1"/>
    </xf>
    <xf numFmtId="0" fontId="19" fillId="0" borderId="8" xfId="0" applyFont="1" applyBorder="1" applyAlignment="1" applyProtection="1">
      <alignment horizontal="center" vertical="center"/>
      <protection hidden="1"/>
    </xf>
    <xf numFmtId="0" fontId="19" fillId="0" borderId="8" xfId="0" applyFont="1" applyBorder="1" applyAlignment="1" applyProtection="1">
      <alignment horizontal="center" vertical="center" wrapText="1"/>
      <protection hidden="1"/>
    </xf>
    <xf numFmtId="0" fontId="19" fillId="0" borderId="0" xfId="0" applyFont="1" applyAlignment="1" applyProtection="1">
      <alignment vertical="center"/>
      <protection hidden="1"/>
    </xf>
    <xf numFmtId="165" fontId="22" fillId="3" borderId="7" xfId="0" applyNumberFormat="1" applyFont="1" applyFill="1" applyBorder="1" applyAlignment="1" applyProtection="1">
      <alignment horizontal="center" vertical="center"/>
      <protection hidden="1"/>
    </xf>
    <xf numFmtId="1" fontId="22" fillId="3" borderId="8" xfId="0" applyNumberFormat="1" applyFont="1" applyFill="1" applyBorder="1" applyAlignment="1" applyProtection="1">
      <alignment horizontal="center" vertical="center"/>
      <protection hidden="1"/>
    </xf>
    <xf numFmtId="165" fontId="22" fillId="3" borderId="10" xfId="0" applyNumberFormat="1" applyFont="1" applyFill="1" applyBorder="1" applyAlignment="1" applyProtection="1">
      <alignment horizontal="center" vertical="center"/>
      <protection hidden="1"/>
    </xf>
    <xf numFmtId="1" fontId="22" fillId="3" borderId="9" xfId="0" applyNumberFormat="1" applyFont="1" applyFill="1" applyBorder="1" applyAlignment="1" applyProtection="1">
      <alignment horizontal="center" vertical="center"/>
      <protection hidden="1"/>
    </xf>
    <xf numFmtId="1" fontId="13" fillId="3" borderId="6" xfId="0" applyNumberFormat="1" applyFont="1" applyFill="1" applyBorder="1" applyAlignment="1" applyProtection="1">
      <alignment horizontal="center"/>
      <protection hidden="1"/>
    </xf>
    <xf numFmtId="0" fontId="22" fillId="3" borderId="8" xfId="0" applyFont="1" applyFill="1" applyBorder="1" applyAlignment="1" applyProtection="1">
      <alignment horizontal="center" vertical="center"/>
      <protection hidden="1"/>
    </xf>
    <xf numFmtId="1" fontId="22" fillId="3" borderId="7" xfId="0" applyNumberFormat="1" applyFont="1" applyFill="1" applyBorder="1" applyAlignment="1" applyProtection="1">
      <alignment horizontal="center" vertical="center"/>
      <protection hidden="1"/>
    </xf>
    <xf numFmtId="0" fontId="22" fillId="3" borderId="7" xfId="0" applyFont="1" applyFill="1" applyBorder="1" applyAlignment="1" applyProtection="1">
      <alignment horizontal="center" vertical="center"/>
      <protection hidden="1"/>
    </xf>
    <xf numFmtId="165" fontId="22" fillId="3" borderId="8" xfId="0" applyNumberFormat="1" applyFont="1" applyFill="1" applyBorder="1" applyAlignment="1" applyProtection="1">
      <alignment horizontal="center" vertical="center"/>
      <protection hidden="1"/>
    </xf>
    <xf numFmtId="0" fontId="17" fillId="0" borderId="0" xfId="0" applyFont="1" applyAlignment="1" applyProtection="1">
      <alignment vertical="center"/>
      <protection hidden="1"/>
    </xf>
    <xf numFmtId="2" fontId="22" fillId="3" borderId="15" xfId="0" applyNumberFormat="1" applyFont="1" applyFill="1" applyBorder="1" applyAlignment="1" applyProtection="1">
      <alignment horizontal="center" vertical="center" wrapText="1"/>
      <protection hidden="1"/>
    </xf>
    <xf numFmtId="165" fontId="22" fillId="3" borderId="15" xfId="0" applyNumberFormat="1" applyFont="1" applyFill="1" applyBorder="1" applyAlignment="1" applyProtection="1">
      <alignment horizontal="center" vertical="center"/>
      <protection hidden="1"/>
    </xf>
    <xf numFmtId="1" fontId="22" fillId="3" borderId="16" xfId="0" applyNumberFormat="1" applyFont="1" applyFill="1" applyBorder="1" applyAlignment="1" applyProtection="1">
      <alignment horizontal="center" vertical="center"/>
      <protection hidden="1"/>
    </xf>
    <xf numFmtId="165" fontId="22" fillId="3" borderId="19" xfId="0" applyNumberFormat="1" applyFont="1" applyFill="1" applyBorder="1" applyAlignment="1" applyProtection="1">
      <alignment horizontal="center" vertical="center"/>
      <protection hidden="1"/>
    </xf>
    <xf numFmtId="1" fontId="22" fillId="3" borderId="34" xfId="0" applyNumberFormat="1" applyFont="1" applyFill="1" applyBorder="1" applyAlignment="1" applyProtection="1">
      <alignment horizontal="center" vertical="center"/>
      <protection hidden="1"/>
    </xf>
    <xf numFmtId="1" fontId="13" fillId="3" borderId="59" xfId="0" applyNumberFormat="1" applyFont="1" applyFill="1" applyBorder="1" applyAlignment="1" applyProtection="1">
      <alignment horizontal="center"/>
      <protection hidden="1"/>
    </xf>
    <xf numFmtId="0" fontId="22" fillId="3" borderId="16" xfId="0" applyFont="1" applyFill="1" applyBorder="1" applyAlignment="1" applyProtection="1">
      <alignment horizontal="center" vertical="center"/>
      <protection hidden="1"/>
    </xf>
    <xf numFmtId="1" fontId="22" fillId="3" borderId="15" xfId="0" applyNumberFormat="1" applyFont="1" applyFill="1" applyBorder="1" applyAlignment="1" applyProtection="1">
      <alignment horizontal="center" vertical="center"/>
      <protection hidden="1"/>
    </xf>
    <xf numFmtId="0" fontId="22" fillId="3" borderId="15" xfId="0" applyFont="1" applyFill="1" applyBorder="1" applyAlignment="1" applyProtection="1">
      <alignment horizontal="center" vertical="center"/>
      <protection hidden="1"/>
    </xf>
    <xf numFmtId="165" fontId="22" fillId="3" borderId="16" xfId="0" applyNumberFormat="1" applyFont="1" applyFill="1" applyBorder="1" applyAlignment="1" applyProtection="1">
      <alignment horizontal="center" vertical="center"/>
      <protection hidden="1"/>
    </xf>
    <xf numFmtId="0" fontId="22" fillId="0" borderId="0" xfId="0" applyFont="1" applyAlignment="1" applyProtection="1">
      <alignment vertical="center"/>
      <protection hidden="1"/>
    </xf>
    <xf numFmtId="2" fontId="22" fillId="3" borderId="23" xfId="0" applyNumberFormat="1" applyFont="1" applyFill="1" applyBorder="1" applyAlignment="1" applyProtection="1">
      <alignment horizontal="center" vertical="center" wrapText="1"/>
      <protection hidden="1"/>
    </xf>
    <xf numFmtId="165" fontId="22" fillId="3" borderId="23" xfId="0" applyNumberFormat="1" applyFont="1" applyFill="1" applyBorder="1" applyAlignment="1" applyProtection="1">
      <alignment horizontal="center" vertical="center"/>
      <protection hidden="1"/>
    </xf>
    <xf numFmtId="1" fontId="22" fillId="3" borderId="24" xfId="0" applyNumberFormat="1" applyFont="1" applyFill="1" applyBorder="1" applyAlignment="1" applyProtection="1">
      <alignment horizontal="center" vertical="center"/>
      <protection hidden="1"/>
    </xf>
    <xf numFmtId="165" fontId="22" fillId="3" borderId="41" xfId="0" applyNumberFormat="1" applyFont="1" applyFill="1" applyBorder="1" applyAlignment="1" applyProtection="1">
      <alignment horizontal="center" vertical="center"/>
      <protection hidden="1"/>
    </xf>
    <xf numFmtId="1" fontId="22" fillId="3" borderId="51" xfId="0" applyNumberFormat="1" applyFont="1" applyFill="1" applyBorder="1" applyAlignment="1" applyProtection="1">
      <alignment horizontal="center" vertical="center"/>
      <protection hidden="1"/>
    </xf>
    <xf numFmtId="1" fontId="13" fillId="3" borderId="22" xfId="0" applyNumberFormat="1" applyFont="1" applyFill="1" applyBorder="1" applyAlignment="1" applyProtection="1">
      <alignment horizontal="center"/>
      <protection hidden="1"/>
    </xf>
    <xf numFmtId="0" fontId="22" fillId="3" borderId="24" xfId="0" applyFont="1" applyFill="1" applyBorder="1" applyAlignment="1" applyProtection="1">
      <alignment horizontal="center" vertical="center"/>
      <protection hidden="1"/>
    </xf>
    <xf numFmtId="1" fontId="22" fillId="3" borderId="23" xfId="0" applyNumberFormat="1" applyFont="1" applyFill="1" applyBorder="1" applyAlignment="1" applyProtection="1">
      <alignment horizontal="center" vertical="center"/>
      <protection hidden="1"/>
    </xf>
    <xf numFmtId="0" fontId="22" fillId="3" borderId="23" xfId="0" applyFont="1" applyFill="1" applyBorder="1" applyAlignment="1" applyProtection="1">
      <alignment horizontal="center" vertical="center"/>
      <protection hidden="1"/>
    </xf>
    <xf numFmtId="165" fontId="22" fillId="3" borderId="24" xfId="0" applyNumberFormat="1" applyFont="1" applyFill="1" applyBorder="1" applyAlignment="1" applyProtection="1">
      <alignment horizontal="center" vertical="center"/>
      <protection hidden="1"/>
    </xf>
    <xf numFmtId="0" fontId="22" fillId="0" borderId="0" xfId="0" applyFont="1" applyAlignment="1" applyProtection="1">
      <alignment horizontal="center" vertical="center"/>
      <protection hidden="1"/>
    </xf>
    <xf numFmtId="2" fontId="22" fillId="0" borderId="0" xfId="0" applyNumberFormat="1" applyFont="1" applyAlignment="1" applyProtection="1">
      <alignment horizontal="center" vertical="center" wrapText="1"/>
      <protection hidden="1"/>
    </xf>
    <xf numFmtId="165" fontId="22" fillId="0" borderId="0" xfId="0" applyNumberFormat="1" applyFont="1" applyAlignment="1" applyProtection="1">
      <alignment horizontal="center" vertical="center"/>
      <protection hidden="1"/>
    </xf>
    <xf numFmtId="2" fontId="22" fillId="0" borderId="0" xfId="0" applyNumberFormat="1" applyFont="1" applyAlignment="1" applyProtection="1">
      <alignment horizontal="center" vertical="center"/>
      <protection hidden="1"/>
    </xf>
    <xf numFmtId="1" fontId="22" fillId="0" borderId="0" xfId="0" applyNumberFormat="1" applyFont="1" applyAlignment="1" applyProtection="1">
      <alignment horizontal="center" vertical="center"/>
      <protection hidden="1"/>
    </xf>
    <xf numFmtId="0" fontId="23" fillId="0" borderId="0" xfId="0" applyFont="1" applyAlignment="1" applyProtection="1">
      <alignment horizontal="center" vertical="center"/>
      <protection hidden="1"/>
    </xf>
    <xf numFmtId="2" fontId="23" fillId="4" borderId="30" xfId="1" applyNumberFormat="1" applyFont="1" applyFill="1" applyBorder="1" applyAlignment="1" applyProtection="1">
      <alignment horizontal="center" vertical="center"/>
      <protection hidden="1"/>
    </xf>
    <xf numFmtId="165" fontId="23" fillId="4" borderId="29" xfId="0" applyNumberFormat="1" applyFont="1" applyFill="1" applyBorder="1" applyAlignment="1" applyProtection="1">
      <alignment horizontal="center" vertical="center"/>
      <protection hidden="1"/>
    </xf>
    <xf numFmtId="0" fontId="23" fillId="4" borderId="27" xfId="0" applyFont="1" applyFill="1" applyBorder="1" applyAlignment="1" applyProtection="1">
      <alignment horizontal="center" vertical="center"/>
      <protection hidden="1"/>
    </xf>
    <xf numFmtId="165" fontId="23" fillId="4" borderId="28" xfId="0" applyNumberFormat="1" applyFont="1" applyFill="1" applyBorder="1" applyAlignment="1" applyProtection="1">
      <alignment horizontal="center" vertical="center"/>
      <protection hidden="1"/>
    </xf>
    <xf numFmtId="1" fontId="23" fillId="4" borderId="28" xfId="0" applyNumberFormat="1" applyFont="1" applyFill="1" applyBorder="1" applyAlignment="1" applyProtection="1">
      <alignment horizontal="center" vertical="center"/>
      <protection hidden="1"/>
    </xf>
    <xf numFmtId="0" fontId="23" fillId="4" borderId="28" xfId="0" applyFont="1" applyFill="1" applyBorder="1" applyAlignment="1" applyProtection="1">
      <alignment horizontal="center" vertical="center"/>
      <protection hidden="1"/>
    </xf>
    <xf numFmtId="1" fontId="23" fillId="4" borderId="7" xfId="0" applyNumberFormat="1" applyFont="1" applyFill="1" applyBorder="1" applyAlignment="1" applyProtection="1">
      <alignment horizontal="center" vertical="center"/>
      <protection hidden="1"/>
    </xf>
    <xf numFmtId="0" fontId="23" fillId="4" borderId="7" xfId="0" applyFont="1" applyFill="1" applyBorder="1" applyAlignment="1" applyProtection="1">
      <alignment horizontal="center" vertical="center"/>
      <protection hidden="1"/>
    </xf>
    <xf numFmtId="165" fontId="23" fillId="4" borderId="7" xfId="0" applyNumberFormat="1" applyFont="1" applyFill="1" applyBorder="1" applyAlignment="1" applyProtection="1">
      <alignment horizontal="center" vertical="center"/>
      <protection hidden="1"/>
    </xf>
    <xf numFmtId="0" fontId="23" fillId="4" borderId="9" xfId="0" applyFont="1" applyFill="1" applyBorder="1" applyAlignment="1" applyProtection="1">
      <alignment horizontal="center" vertical="center"/>
      <protection hidden="1"/>
    </xf>
    <xf numFmtId="1" fontId="23" fillId="2" borderId="80" xfId="0" applyNumberFormat="1" applyFont="1" applyFill="1" applyBorder="1" applyAlignment="1" applyProtection="1">
      <alignment horizontal="center" vertical="center"/>
      <protection hidden="1"/>
    </xf>
    <xf numFmtId="0" fontId="23" fillId="4" borderId="10" xfId="0" applyFont="1" applyFill="1" applyBorder="1" applyAlignment="1" applyProtection="1">
      <alignment horizontal="center" vertical="center"/>
      <protection hidden="1"/>
    </xf>
    <xf numFmtId="165" fontId="23" fillId="6" borderId="7" xfId="0" applyNumberFormat="1" applyFont="1" applyFill="1" applyBorder="1" applyAlignment="1" applyProtection="1">
      <alignment horizontal="center" vertical="center"/>
      <protection hidden="1"/>
    </xf>
    <xf numFmtId="165" fontId="23" fillId="5" borderId="8" xfId="0" applyNumberFormat="1" applyFont="1" applyFill="1" applyBorder="1" applyAlignment="1" applyProtection="1">
      <alignment horizontal="center" vertical="center"/>
      <protection hidden="1"/>
    </xf>
    <xf numFmtId="165" fontId="23" fillId="0" borderId="0" xfId="0" applyNumberFormat="1" applyFont="1" applyAlignment="1" applyProtection="1">
      <alignment vertical="center"/>
      <protection hidden="1"/>
    </xf>
    <xf numFmtId="0" fontId="19" fillId="0" borderId="0" xfId="0" applyFont="1" applyBorder="1" applyAlignment="1" applyProtection="1">
      <alignment horizontal="center" vertical="center" wrapText="1"/>
      <protection hidden="1"/>
    </xf>
    <xf numFmtId="2" fontId="22" fillId="0" borderId="0" xfId="0" applyNumberFormat="1" applyFont="1" applyBorder="1" applyAlignment="1" applyProtection="1">
      <alignment horizontal="center" vertical="center"/>
      <protection hidden="1"/>
    </xf>
    <xf numFmtId="165" fontId="22" fillId="0" borderId="0" xfId="0" applyNumberFormat="1" applyFont="1" applyBorder="1" applyAlignment="1" applyProtection="1">
      <alignment horizontal="center" vertical="center"/>
      <protection hidden="1"/>
    </xf>
    <xf numFmtId="0" fontId="22" fillId="0" borderId="0" xfId="0" applyFont="1" applyBorder="1" applyAlignment="1" applyProtection="1">
      <alignment horizontal="center" vertical="center"/>
      <protection hidden="1"/>
    </xf>
    <xf numFmtId="0" fontId="19" fillId="0" borderId="0" xfId="0" applyFont="1" applyBorder="1" applyAlignment="1" applyProtection="1">
      <alignment vertical="center"/>
      <protection hidden="1"/>
    </xf>
    <xf numFmtId="0" fontId="26" fillId="0" borderId="0" xfId="0" applyFont="1" applyAlignment="1" applyProtection="1">
      <alignment vertical="center" wrapText="1"/>
      <protection hidden="1"/>
    </xf>
    <xf numFmtId="0" fontId="17" fillId="0" borderId="35" xfId="0" applyFont="1" applyBorder="1" applyAlignment="1" applyProtection="1">
      <alignment vertical="center" wrapText="1"/>
      <protection hidden="1"/>
    </xf>
    <xf numFmtId="1" fontId="22" fillId="2" borderId="75" xfId="0" applyNumberFormat="1" applyFont="1" applyFill="1" applyBorder="1" applyAlignment="1" applyProtection="1">
      <alignment horizontal="center" vertical="center"/>
      <protection hidden="1"/>
    </xf>
    <xf numFmtId="0" fontId="19" fillId="0" borderId="0" xfId="0" applyFont="1" applyAlignment="1" applyProtection="1">
      <alignment horizontal="center" vertical="center"/>
      <protection hidden="1"/>
    </xf>
    <xf numFmtId="0" fontId="19" fillId="0" borderId="0" xfId="0" applyFont="1" applyAlignment="1" applyProtection="1">
      <alignment vertical="center" wrapText="1"/>
      <protection hidden="1"/>
    </xf>
    <xf numFmtId="0" fontId="27" fillId="0" borderId="0" xfId="0" applyFont="1" applyAlignment="1" applyProtection="1">
      <alignment vertical="center" wrapText="1"/>
      <protection hidden="1"/>
    </xf>
    <xf numFmtId="0" fontId="19" fillId="0" borderId="13" xfId="0" applyFont="1" applyBorder="1" applyAlignment="1" applyProtection="1">
      <alignment horizontal="center" vertical="center"/>
      <protection hidden="1"/>
    </xf>
    <xf numFmtId="0" fontId="28" fillId="0" borderId="0" xfId="0" applyFont="1" applyAlignment="1" applyProtection="1">
      <alignment horizontal="center" vertical="center"/>
      <protection hidden="1"/>
    </xf>
    <xf numFmtId="0" fontId="28" fillId="0" borderId="12" xfId="0" applyFont="1" applyBorder="1" applyAlignment="1" applyProtection="1">
      <alignment horizontal="center" vertical="center"/>
      <protection hidden="1"/>
    </xf>
    <xf numFmtId="0" fontId="19" fillId="0" borderId="0" xfId="0" applyFont="1" applyFill="1" applyBorder="1" applyAlignment="1" applyProtection="1">
      <alignment vertical="center" wrapText="1"/>
      <protection hidden="1"/>
    </xf>
    <xf numFmtId="165" fontId="17" fillId="0" borderId="16" xfId="0" applyNumberFormat="1" applyFont="1" applyBorder="1" applyAlignment="1" applyProtection="1">
      <alignment horizontal="center" vertical="center"/>
      <protection hidden="1"/>
    </xf>
    <xf numFmtId="1" fontId="17" fillId="0" borderId="15" xfId="0" applyNumberFormat="1" applyFont="1" applyBorder="1" applyAlignment="1" applyProtection="1">
      <alignment horizontal="center" vertical="center"/>
      <protection hidden="1"/>
    </xf>
    <xf numFmtId="0" fontId="30" fillId="0" borderId="0" xfId="0" applyFont="1" applyFill="1" applyBorder="1" applyAlignment="1" applyProtection="1">
      <alignment vertical="center"/>
      <protection hidden="1"/>
    </xf>
    <xf numFmtId="1" fontId="17" fillId="0" borderId="23" xfId="0" applyNumberFormat="1" applyFont="1" applyBorder="1" applyAlignment="1" applyProtection="1">
      <alignment horizontal="center" vertical="center"/>
      <protection hidden="1"/>
    </xf>
    <xf numFmtId="0" fontId="29" fillId="0" borderId="0" xfId="0" applyFont="1" applyAlignment="1" applyProtection="1">
      <alignment wrapText="1"/>
      <protection hidden="1"/>
    </xf>
    <xf numFmtId="165" fontId="17" fillId="0" borderId="21" xfId="0" applyNumberFormat="1" applyFont="1" applyBorder="1" applyAlignment="1" applyProtection="1">
      <alignment horizontal="center" vertical="center"/>
      <protection hidden="1"/>
    </xf>
    <xf numFmtId="2" fontId="17" fillId="0" borderId="37" xfId="0" applyNumberFormat="1" applyFont="1" applyBorder="1" applyAlignment="1" applyProtection="1">
      <alignment horizontal="center" vertical="center"/>
      <protection hidden="1"/>
    </xf>
    <xf numFmtId="2" fontId="29" fillId="0" borderId="0" xfId="2" applyNumberFormat="1" applyFont="1" applyAlignment="1" applyProtection="1">
      <alignment vertical="center" wrapText="1"/>
      <protection hidden="1"/>
    </xf>
    <xf numFmtId="1" fontId="29" fillId="0" borderId="0" xfId="2" applyNumberFormat="1" applyFont="1" applyAlignment="1" applyProtection="1">
      <alignment vertical="center" wrapText="1"/>
      <protection hidden="1"/>
    </xf>
    <xf numFmtId="0" fontId="31" fillId="0" borderId="0" xfId="0" applyFont="1" applyAlignment="1" applyProtection="1">
      <alignment vertical="center"/>
      <protection hidden="1"/>
    </xf>
    <xf numFmtId="1" fontId="17" fillId="0" borderId="24" xfId="0" applyNumberFormat="1" applyFont="1" applyBorder="1" applyAlignment="1" applyProtection="1">
      <alignment horizontal="center" vertical="center"/>
      <protection hidden="1"/>
    </xf>
    <xf numFmtId="2" fontId="17" fillId="0" borderId="0" xfId="0" applyNumberFormat="1" applyFont="1" applyAlignment="1" applyProtection="1">
      <alignment horizontal="center" vertical="center"/>
      <protection hidden="1"/>
    </xf>
    <xf numFmtId="1" fontId="17" fillId="0" borderId="0" xfId="0" applyNumberFormat="1" applyFont="1" applyAlignment="1" applyProtection="1">
      <alignment vertical="center"/>
      <protection hidden="1"/>
    </xf>
    <xf numFmtId="0" fontId="13" fillId="0" borderId="59" xfId="0" applyFont="1" applyBorder="1" applyAlignment="1" applyProtection="1">
      <alignment horizontal="center" vertical="center"/>
      <protection hidden="1"/>
    </xf>
    <xf numFmtId="10" fontId="4" fillId="0" borderId="15" xfId="2" applyNumberFormat="1" applyFont="1" applyBorder="1" applyAlignment="1" applyProtection="1">
      <alignment horizontal="center" vertical="center"/>
      <protection hidden="1"/>
    </xf>
    <xf numFmtId="1" fontId="4" fillId="0" borderId="16" xfId="2" applyNumberFormat="1" applyFont="1" applyBorder="1" applyAlignment="1" applyProtection="1">
      <alignment horizontal="center" vertical="center"/>
      <protection hidden="1"/>
    </xf>
    <xf numFmtId="0" fontId="4" fillId="8" borderId="53" xfId="2" applyFont="1" applyFill="1" applyBorder="1" applyAlignment="1" applyProtection="1">
      <alignment horizontal="center"/>
      <protection hidden="1"/>
    </xf>
    <xf numFmtId="168" fontId="4" fillId="8" borderId="54" xfId="2" applyNumberFormat="1" applyFont="1" applyFill="1" applyBorder="1" applyAlignment="1" applyProtection="1">
      <alignment horizontal="center"/>
      <protection hidden="1"/>
    </xf>
    <xf numFmtId="168" fontId="4" fillId="8" borderId="61" xfId="2" applyNumberFormat="1" applyFont="1" applyFill="1" applyBorder="1" applyAlignment="1" applyProtection="1">
      <alignment horizontal="center"/>
      <protection hidden="1"/>
    </xf>
    <xf numFmtId="167" fontId="4" fillId="0" borderId="63" xfId="2" applyNumberFormat="1" applyFont="1" applyBorder="1" applyAlignment="1" applyProtection="1">
      <alignment horizontal="center"/>
      <protection hidden="1"/>
    </xf>
    <xf numFmtId="0" fontId="4" fillId="8" borderId="64" xfId="2" applyFont="1" applyFill="1" applyBorder="1" applyAlignment="1" applyProtection="1">
      <alignment horizontal="center"/>
      <protection hidden="1"/>
    </xf>
    <xf numFmtId="168" fontId="4" fillId="8" borderId="65" xfId="2" applyNumberFormat="1" applyFont="1" applyFill="1" applyBorder="1" applyAlignment="1" applyProtection="1">
      <alignment horizontal="center"/>
      <protection hidden="1"/>
    </xf>
    <xf numFmtId="168" fontId="4" fillId="8" borderId="66" xfId="2" applyNumberFormat="1" applyFont="1" applyFill="1" applyBorder="1" applyAlignment="1" applyProtection="1">
      <alignment horizontal="center"/>
      <protection hidden="1"/>
    </xf>
    <xf numFmtId="0" fontId="13" fillId="0" borderId="22" xfId="0" applyFont="1" applyBorder="1" applyAlignment="1" applyProtection="1">
      <alignment horizontal="center" vertical="center"/>
      <protection hidden="1"/>
    </xf>
    <xf numFmtId="10" fontId="4" fillId="0" borderId="23" xfId="2" applyNumberFormat="1" applyFont="1" applyBorder="1" applyAlignment="1" applyProtection="1">
      <alignment horizontal="center" vertical="center"/>
      <protection hidden="1"/>
    </xf>
    <xf numFmtId="1" fontId="4" fillId="0" borderId="24" xfId="2" applyNumberFormat="1" applyFont="1" applyBorder="1" applyAlignment="1" applyProtection="1">
      <alignment horizontal="center" vertical="center"/>
      <protection hidden="1"/>
    </xf>
    <xf numFmtId="0" fontId="17" fillId="3" borderId="19" xfId="0" applyNumberFormat="1" applyFont="1" applyFill="1" applyBorder="1" applyAlignment="1" applyProtection="1">
      <alignment horizontal="center" vertical="center"/>
      <protection hidden="1"/>
    </xf>
    <xf numFmtId="165" fontId="22" fillId="3" borderId="4" xfId="0" applyNumberFormat="1" applyFont="1" applyFill="1" applyBorder="1" applyAlignment="1" applyProtection="1">
      <alignment horizontal="center" vertical="center"/>
      <protection hidden="1"/>
    </xf>
    <xf numFmtId="165" fontId="22" fillId="3" borderId="10" xfId="0" applyNumberFormat="1" applyFont="1" applyFill="1" applyBorder="1" applyAlignment="1" applyProtection="1">
      <alignment horizontal="center" vertical="center" wrapText="1"/>
      <protection hidden="1"/>
    </xf>
    <xf numFmtId="1" fontId="22" fillId="2" borderId="2" xfId="0" applyNumberFormat="1" applyFont="1" applyFill="1" applyBorder="1" applyAlignment="1" applyProtection="1">
      <alignment horizontal="center" vertical="center"/>
      <protection hidden="1"/>
    </xf>
    <xf numFmtId="1" fontId="22" fillId="3" borderId="6" xfId="0" applyNumberFormat="1" applyFont="1" applyFill="1" applyBorder="1" applyAlignment="1" applyProtection="1">
      <alignment horizontal="center" vertical="center"/>
      <protection hidden="1"/>
    </xf>
    <xf numFmtId="165" fontId="22" fillId="3" borderId="36" xfId="0" applyNumberFormat="1" applyFont="1" applyFill="1" applyBorder="1" applyAlignment="1" applyProtection="1">
      <alignment horizontal="center" vertical="center"/>
      <protection hidden="1"/>
    </xf>
    <xf numFmtId="165" fontId="22" fillId="3" borderId="19" xfId="0" applyNumberFormat="1" applyFont="1" applyFill="1" applyBorder="1" applyAlignment="1" applyProtection="1">
      <alignment horizontal="center" vertical="center" wrapText="1"/>
      <protection hidden="1"/>
    </xf>
    <xf numFmtId="1" fontId="22" fillId="2" borderId="35" xfId="0" applyNumberFormat="1" applyFont="1" applyFill="1" applyBorder="1" applyAlignment="1" applyProtection="1">
      <alignment horizontal="center" vertical="center"/>
      <protection hidden="1"/>
    </xf>
    <xf numFmtId="1" fontId="22" fillId="3" borderId="59" xfId="0" applyNumberFormat="1" applyFont="1" applyFill="1" applyBorder="1" applyAlignment="1" applyProtection="1">
      <alignment horizontal="center" vertical="center"/>
      <protection hidden="1"/>
    </xf>
    <xf numFmtId="0" fontId="17" fillId="3" borderId="41" xfId="0" applyNumberFormat="1" applyFont="1" applyFill="1" applyBorder="1" applyAlignment="1" applyProtection="1">
      <alignment horizontal="center" vertical="center"/>
      <protection hidden="1"/>
    </xf>
    <xf numFmtId="165" fontId="22" fillId="3" borderId="40" xfId="0" applyNumberFormat="1" applyFont="1" applyFill="1" applyBorder="1" applyAlignment="1" applyProtection="1">
      <alignment horizontal="center" vertical="center"/>
      <protection hidden="1"/>
    </xf>
    <xf numFmtId="165" fontId="22" fillId="3" borderId="41" xfId="0" applyNumberFormat="1" applyFont="1" applyFill="1" applyBorder="1" applyAlignment="1" applyProtection="1">
      <alignment horizontal="center" vertical="center" wrapText="1"/>
      <protection hidden="1"/>
    </xf>
    <xf numFmtId="1" fontId="22" fillId="2" borderId="39" xfId="0" applyNumberFormat="1" applyFont="1" applyFill="1" applyBorder="1" applyAlignment="1" applyProtection="1">
      <alignment horizontal="center" vertical="center"/>
      <protection hidden="1"/>
    </xf>
    <xf numFmtId="1" fontId="22" fillId="3" borderId="22" xfId="0" applyNumberFormat="1" applyFont="1" applyFill="1" applyBorder="1" applyAlignment="1" applyProtection="1">
      <alignment horizontal="center" vertical="center"/>
      <protection hidden="1"/>
    </xf>
    <xf numFmtId="165" fontId="23" fillId="4" borderId="6" xfId="0" applyNumberFormat="1" applyFont="1" applyFill="1" applyBorder="1" applyAlignment="1" applyProtection="1">
      <alignment horizontal="center" vertical="center"/>
      <protection hidden="1"/>
    </xf>
    <xf numFmtId="9" fontId="22" fillId="0" borderId="11" xfId="0" applyNumberFormat="1" applyFont="1" applyBorder="1" applyAlignment="1" applyProtection="1">
      <alignment horizontal="center" vertical="center"/>
      <protection hidden="1"/>
    </xf>
    <xf numFmtId="1" fontId="22" fillId="2" borderId="7" xfId="0" applyNumberFormat="1" applyFont="1" applyFill="1" applyBorder="1" applyAlignment="1" applyProtection="1">
      <alignment horizontal="center" vertical="center"/>
      <protection hidden="1"/>
    </xf>
    <xf numFmtId="0" fontId="22" fillId="0" borderId="47" xfId="0" applyFont="1" applyBorder="1" applyAlignment="1" applyProtection="1">
      <alignment horizontal="center" vertical="center"/>
      <protection hidden="1"/>
    </xf>
    <xf numFmtId="9" fontId="22" fillId="0" borderId="59" xfId="0" applyNumberFormat="1" applyFont="1" applyBorder="1" applyAlignment="1" applyProtection="1">
      <alignment horizontal="center" vertical="center"/>
      <protection hidden="1"/>
    </xf>
    <xf numFmtId="1" fontId="22" fillId="2" borderId="15" xfId="0" applyNumberFormat="1" applyFont="1" applyFill="1" applyBorder="1" applyAlignment="1" applyProtection="1">
      <alignment horizontal="center" vertical="center"/>
      <protection hidden="1"/>
    </xf>
    <xf numFmtId="0" fontId="22" fillId="0" borderId="35" xfId="0" applyFont="1" applyBorder="1" applyAlignment="1" applyProtection="1">
      <alignment horizontal="center" vertical="center"/>
      <protection hidden="1"/>
    </xf>
    <xf numFmtId="9" fontId="22" fillId="0" borderId="22" xfId="0" applyNumberFormat="1" applyFont="1" applyBorder="1" applyAlignment="1" applyProtection="1">
      <alignment horizontal="center" vertical="center"/>
      <protection hidden="1"/>
    </xf>
    <xf numFmtId="1" fontId="22" fillId="2" borderId="83" xfId="0" applyNumberFormat="1" applyFont="1" applyFill="1" applyBorder="1" applyAlignment="1" applyProtection="1">
      <alignment horizontal="center" vertical="center"/>
      <protection hidden="1"/>
    </xf>
    <xf numFmtId="0" fontId="22" fillId="0" borderId="51" xfId="0" applyFont="1" applyBorder="1" applyAlignment="1" applyProtection="1">
      <alignment horizontal="center" vertical="center"/>
      <protection hidden="1"/>
    </xf>
    <xf numFmtId="9" fontId="22" fillId="0" borderId="81" xfId="0" applyNumberFormat="1" applyFont="1" applyBorder="1" applyAlignment="1" applyProtection="1">
      <alignment horizontal="center" vertical="center"/>
      <protection hidden="1"/>
    </xf>
    <xf numFmtId="0" fontId="40" fillId="0" borderId="0" xfId="0" applyFont="1" applyAlignment="1" applyProtection="1">
      <alignment horizontal="center" vertical="center"/>
      <protection hidden="1"/>
    </xf>
    <xf numFmtId="0" fontId="40" fillId="0" borderId="0" xfId="0" applyFont="1" applyProtection="1">
      <protection hidden="1"/>
    </xf>
    <xf numFmtId="0" fontId="41" fillId="0" borderId="0" xfId="0" applyFont="1" applyAlignment="1" applyProtection="1">
      <alignment vertical="center"/>
      <protection hidden="1"/>
    </xf>
    <xf numFmtId="0" fontId="41" fillId="0" borderId="0" xfId="0" applyFont="1" applyAlignment="1" applyProtection="1">
      <alignment horizontal="center" vertical="center"/>
      <protection hidden="1"/>
    </xf>
    <xf numFmtId="0" fontId="41" fillId="0" borderId="0" xfId="0" applyFont="1" applyAlignment="1" applyProtection="1">
      <alignment vertical="center" wrapText="1"/>
      <protection hidden="1"/>
    </xf>
    <xf numFmtId="0" fontId="40" fillId="0" borderId="0" xfId="0" applyFont="1" applyAlignment="1" applyProtection="1">
      <alignment vertical="center"/>
      <protection hidden="1"/>
    </xf>
    <xf numFmtId="2" fontId="40" fillId="0" borderId="0" xfId="0" applyNumberFormat="1" applyFont="1" applyAlignment="1" applyProtection="1">
      <alignment horizontal="center" vertical="center" wrapText="1"/>
      <protection hidden="1"/>
    </xf>
    <xf numFmtId="165" fontId="40" fillId="0" borderId="0" xfId="0" applyNumberFormat="1" applyFont="1" applyAlignment="1" applyProtection="1">
      <alignment horizontal="center" vertical="center"/>
      <protection hidden="1"/>
    </xf>
    <xf numFmtId="2" fontId="40" fillId="0" borderId="0" xfId="0" applyNumberFormat="1" applyFont="1" applyAlignment="1" applyProtection="1">
      <alignment horizontal="center" vertical="center"/>
      <protection hidden="1"/>
    </xf>
    <xf numFmtId="1" fontId="40" fillId="0" borderId="0" xfId="0" applyNumberFormat="1" applyFont="1" applyAlignment="1" applyProtection="1">
      <alignment horizontal="center" vertical="center"/>
      <protection hidden="1"/>
    </xf>
    <xf numFmtId="0" fontId="42" fillId="0" borderId="0" xfId="0" applyFont="1" applyAlignment="1" applyProtection="1">
      <alignment horizontal="center" vertical="center"/>
      <protection hidden="1"/>
    </xf>
    <xf numFmtId="2" fontId="43" fillId="17" borderId="30" xfId="1" applyNumberFormat="1" applyFont="1" applyFill="1" applyBorder="1" applyAlignment="1" applyProtection="1">
      <alignment horizontal="center" vertical="center"/>
      <protection hidden="1"/>
    </xf>
    <xf numFmtId="165" fontId="43" fillId="17" borderId="29" xfId="0" applyNumberFormat="1" applyFont="1" applyFill="1" applyBorder="1" applyAlignment="1" applyProtection="1">
      <alignment horizontal="center" vertical="center"/>
      <protection hidden="1"/>
    </xf>
    <xf numFmtId="0" fontId="43" fillId="17" borderId="27" xfId="0" applyFont="1" applyFill="1" applyBorder="1" applyAlignment="1" applyProtection="1">
      <alignment horizontal="center" vertical="center"/>
      <protection hidden="1"/>
    </xf>
    <xf numFmtId="165" fontId="43" fillId="17" borderId="28" xfId="0" applyNumberFormat="1" applyFont="1" applyFill="1" applyBorder="1" applyAlignment="1" applyProtection="1">
      <alignment horizontal="center" vertical="center"/>
      <protection hidden="1"/>
    </xf>
    <xf numFmtId="1" fontId="43" fillId="17" borderId="28" xfId="0" applyNumberFormat="1" applyFont="1" applyFill="1" applyBorder="1" applyAlignment="1" applyProtection="1">
      <alignment horizontal="center" vertical="center"/>
      <protection hidden="1"/>
    </xf>
    <xf numFmtId="0" fontId="43" fillId="17" borderId="28" xfId="0" applyFont="1" applyFill="1" applyBorder="1" applyAlignment="1" applyProtection="1">
      <alignment horizontal="center" vertical="center"/>
      <protection hidden="1"/>
    </xf>
    <xf numFmtId="165" fontId="43" fillId="17" borderId="27" xfId="0" applyNumberFormat="1" applyFont="1" applyFill="1" applyBorder="1" applyAlignment="1" applyProtection="1">
      <alignment horizontal="center" vertical="center"/>
      <protection hidden="1"/>
    </xf>
    <xf numFmtId="1" fontId="43" fillId="17" borderId="7" xfId="0" applyNumberFormat="1" applyFont="1" applyFill="1" applyBorder="1" applyAlignment="1" applyProtection="1">
      <alignment horizontal="center" vertical="center"/>
      <protection hidden="1"/>
    </xf>
    <xf numFmtId="0" fontId="43" fillId="17" borderId="7" xfId="0" applyFont="1" applyFill="1" applyBorder="1" applyAlignment="1" applyProtection="1">
      <alignment horizontal="center" vertical="center"/>
      <protection hidden="1"/>
    </xf>
    <xf numFmtId="165" fontId="43" fillId="17" borderId="7" xfId="0" applyNumberFormat="1" applyFont="1" applyFill="1" applyBorder="1" applyAlignment="1" applyProtection="1">
      <alignment horizontal="center" vertical="center"/>
      <protection hidden="1"/>
    </xf>
    <xf numFmtId="0" fontId="43" fillId="17" borderId="9" xfId="0" applyFont="1" applyFill="1" applyBorder="1" applyAlignment="1" applyProtection="1">
      <alignment horizontal="center" vertical="center"/>
      <protection hidden="1"/>
    </xf>
    <xf numFmtId="1" fontId="42" fillId="2" borderId="80" xfId="0" applyNumberFormat="1" applyFont="1" applyFill="1" applyBorder="1" applyAlignment="1" applyProtection="1">
      <alignment horizontal="center" vertical="center"/>
      <protection hidden="1"/>
    </xf>
    <xf numFmtId="0" fontId="42" fillId="17" borderId="10" xfId="0" applyFont="1" applyFill="1" applyBorder="1" applyAlignment="1" applyProtection="1">
      <alignment horizontal="center" vertical="center"/>
      <protection hidden="1"/>
    </xf>
    <xf numFmtId="165" fontId="42" fillId="6" borderId="7" xfId="0" applyNumberFormat="1" applyFont="1" applyFill="1" applyBorder="1" applyAlignment="1" applyProtection="1">
      <alignment horizontal="center" vertical="center"/>
      <protection hidden="1"/>
    </xf>
    <xf numFmtId="165" fontId="42" fillId="5" borderId="8" xfId="0" applyNumberFormat="1" applyFont="1" applyFill="1" applyBorder="1" applyAlignment="1" applyProtection="1">
      <alignment horizontal="center" vertical="center"/>
      <protection hidden="1"/>
    </xf>
    <xf numFmtId="165" fontId="42" fillId="0" borderId="0" xfId="0" applyNumberFormat="1" applyFont="1" applyAlignment="1" applyProtection="1">
      <alignment vertical="center"/>
      <protection hidden="1"/>
    </xf>
    <xf numFmtId="0" fontId="41" fillId="0" borderId="0" xfId="0" applyFont="1" applyBorder="1" applyAlignment="1" applyProtection="1">
      <alignment horizontal="center" vertical="center" wrapText="1"/>
      <protection hidden="1"/>
    </xf>
    <xf numFmtId="2" fontId="40" fillId="0" borderId="0" xfId="0" applyNumberFormat="1" applyFont="1" applyBorder="1" applyAlignment="1" applyProtection="1">
      <alignment horizontal="center" vertical="center"/>
      <protection hidden="1"/>
    </xf>
    <xf numFmtId="165" fontId="40" fillId="0" borderId="0" xfId="0" applyNumberFormat="1" applyFont="1" applyBorder="1" applyAlignment="1" applyProtection="1">
      <alignment horizontal="center" vertical="center"/>
      <protection hidden="1"/>
    </xf>
    <xf numFmtId="0" fontId="40" fillId="0" borderId="0" xfId="0" applyFont="1" applyBorder="1" applyAlignment="1" applyProtection="1">
      <alignment horizontal="center" vertical="center"/>
      <protection hidden="1"/>
    </xf>
    <xf numFmtId="0" fontId="41" fillId="0" borderId="0" xfId="0" applyFont="1" applyBorder="1" applyAlignment="1" applyProtection="1">
      <alignment vertical="center"/>
      <protection hidden="1"/>
    </xf>
    <xf numFmtId="9" fontId="40" fillId="0" borderId="78" xfId="0" applyNumberFormat="1" applyFont="1" applyBorder="1" applyAlignment="1" applyProtection="1">
      <alignment horizontal="center" vertical="center"/>
      <protection hidden="1"/>
    </xf>
    <xf numFmtId="1" fontId="40" fillId="2" borderId="5" xfId="0" applyNumberFormat="1" applyFont="1" applyFill="1" applyBorder="1" applyAlignment="1" applyProtection="1">
      <alignment horizontal="center" vertical="center"/>
      <protection hidden="1"/>
    </xf>
    <xf numFmtId="0" fontId="40" fillId="0" borderId="46" xfId="0" applyFont="1" applyBorder="1" applyAlignment="1" applyProtection="1">
      <alignment horizontal="center" vertical="center"/>
      <protection hidden="1"/>
    </xf>
    <xf numFmtId="0" fontId="44" fillId="0" borderId="0" xfId="0" applyFont="1" applyAlignment="1" applyProtection="1">
      <alignment vertical="center" wrapText="1"/>
      <protection hidden="1"/>
    </xf>
    <xf numFmtId="9" fontId="40" fillId="0" borderId="72" xfId="0" applyNumberFormat="1" applyFont="1" applyBorder="1" applyAlignment="1" applyProtection="1">
      <alignment horizontal="center" vertical="center"/>
      <protection hidden="1"/>
    </xf>
    <xf numFmtId="0" fontId="40" fillId="0" borderId="35" xfId="0" applyFont="1" applyBorder="1" applyAlignment="1" applyProtection="1">
      <alignment vertical="center" wrapText="1"/>
      <protection hidden="1"/>
    </xf>
    <xf numFmtId="1" fontId="40" fillId="2" borderId="32" xfId="0" applyNumberFormat="1" applyFont="1" applyFill="1" applyBorder="1" applyAlignment="1" applyProtection="1">
      <alignment horizontal="center" vertical="center"/>
      <protection hidden="1"/>
    </xf>
    <xf numFmtId="0" fontId="40" fillId="0" borderId="14" xfId="0" applyFont="1" applyBorder="1" applyAlignment="1" applyProtection="1">
      <alignment horizontal="center" vertical="center"/>
      <protection hidden="1"/>
    </xf>
    <xf numFmtId="9" fontId="40" fillId="0" borderId="50" xfId="0" applyNumberFormat="1" applyFont="1" applyBorder="1" applyAlignment="1" applyProtection="1">
      <alignment horizontal="center" vertical="center"/>
      <protection hidden="1"/>
    </xf>
    <xf numFmtId="1" fontId="40" fillId="2" borderId="75" xfId="0" applyNumberFormat="1" applyFont="1" applyFill="1" applyBorder="1" applyAlignment="1" applyProtection="1">
      <alignment horizontal="center" vertical="center"/>
      <protection hidden="1"/>
    </xf>
    <xf numFmtId="0" fontId="40" fillId="0" borderId="17" xfId="0" applyFont="1" applyBorder="1" applyAlignment="1" applyProtection="1">
      <alignment horizontal="center" vertical="center"/>
      <protection hidden="1"/>
    </xf>
    <xf numFmtId="0" fontId="40" fillId="0" borderId="41" xfId="0" applyFont="1" applyBorder="1" applyAlignment="1" applyProtection="1">
      <alignment horizontal="center" vertical="center"/>
      <protection hidden="1"/>
    </xf>
    <xf numFmtId="0" fontId="45" fillId="0" borderId="0" xfId="0" applyFont="1" applyAlignment="1" applyProtection="1">
      <alignment vertical="center" wrapText="1"/>
      <protection hidden="1"/>
    </xf>
    <xf numFmtId="0" fontId="41" fillId="0" borderId="13" xfId="0" applyFont="1" applyBorder="1" applyAlignment="1" applyProtection="1">
      <alignment horizontal="center" vertical="center"/>
      <protection hidden="1"/>
    </xf>
    <xf numFmtId="0" fontId="41" fillId="0" borderId="12" xfId="0" applyFont="1" applyBorder="1" applyAlignment="1" applyProtection="1">
      <alignment horizontal="center" vertical="center"/>
      <protection hidden="1"/>
    </xf>
    <xf numFmtId="0" fontId="41" fillId="0" borderId="0" xfId="0" applyFont="1" applyFill="1" applyBorder="1" applyAlignment="1" applyProtection="1">
      <alignment vertical="center" wrapText="1"/>
      <protection hidden="1"/>
    </xf>
    <xf numFmtId="165" fontId="40" fillId="0" borderId="16" xfId="0" applyNumberFormat="1" applyFont="1" applyBorder="1" applyAlignment="1" applyProtection="1">
      <alignment horizontal="center" vertical="center"/>
      <protection hidden="1"/>
    </xf>
    <xf numFmtId="0" fontId="42" fillId="0" borderId="0" xfId="0" applyFont="1" applyFill="1" applyBorder="1" applyAlignment="1" applyProtection="1">
      <alignment vertical="center"/>
      <protection hidden="1"/>
    </xf>
    <xf numFmtId="0" fontId="40" fillId="0" borderId="34" xfId="0" applyFont="1" applyBorder="1" applyAlignment="1" applyProtection="1">
      <alignment horizontal="center"/>
      <protection hidden="1"/>
    </xf>
    <xf numFmtId="0" fontId="40" fillId="0" borderId="36" xfId="0" applyFont="1" applyBorder="1" applyAlignment="1" applyProtection="1">
      <alignment horizontal="center"/>
      <protection hidden="1"/>
    </xf>
    <xf numFmtId="0" fontId="37" fillId="0" borderId="0" xfId="0" applyFont="1" applyAlignment="1" applyProtection="1">
      <alignment wrapText="1"/>
      <protection hidden="1"/>
    </xf>
    <xf numFmtId="0" fontId="40" fillId="0" borderId="51" xfId="0" applyFont="1" applyBorder="1" applyAlignment="1" applyProtection="1">
      <alignment horizontal="center"/>
      <protection hidden="1"/>
    </xf>
    <xf numFmtId="0" fontId="40" fillId="0" borderId="40" xfId="0" applyFont="1" applyBorder="1" applyAlignment="1" applyProtection="1">
      <alignment horizontal="center"/>
      <protection hidden="1"/>
    </xf>
    <xf numFmtId="165" fontId="40" fillId="0" borderId="21" xfId="0" applyNumberFormat="1" applyFont="1" applyBorder="1" applyAlignment="1" applyProtection="1">
      <alignment horizontal="center" vertical="center"/>
      <protection hidden="1"/>
    </xf>
    <xf numFmtId="2" fontId="40" fillId="0" borderId="37" xfId="0" applyNumberFormat="1" applyFont="1" applyBorder="1" applyAlignment="1" applyProtection="1">
      <alignment horizontal="center" vertical="center"/>
      <protection hidden="1"/>
    </xf>
    <xf numFmtId="2" fontId="37" fillId="0" borderId="0" xfId="2" applyNumberFormat="1" applyFont="1" applyAlignment="1" applyProtection="1">
      <alignment vertical="center" wrapText="1"/>
      <protection hidden="1"/>
    </xf>
    <xf numFmtId="1" fontId="37" fillId="0" borderId="0" xfId="2" applyNumberFormat="1" applyFont="1" applyAlignment="1" applyProtection="1">
      <alignment vertical="center" wrapText="1"/>
      <protection hidden="1"/>
    </xf>
    <xf numFmtId="0" fontId="46" fillId="0" borderId="0" xfId="0" applyFont="1" applyAlignment="1" applyProtection="1">
      <alignment vertical="center"/>
      <protection hidden="1"/>
    </xf>
    <xf numFmtId="1" fontId="40" fillId="0" borderId="24" xfId="0" applyNumberFormat="1" applyFont="1" applyBorder="1" applyAlignment="1" applyProtection="1">
      <alignment horizontal="center" vertical="center"/>
      <protection hidden="1"/>
    </xf>
    <xf numFmtId="1" fontId="40" fillId="0" borderId="0" xfId="0" applyNumberFormat="1" applyFont="1" applyAlignment="1" applyProtection="1">
      <alignment vertical="center"/>
      <protection hidden="1"/>
    </xf>
    <xf numFmtId="2" fontId="40" fillId="3" borderId="52" xfId="0" applyNumberFormat="1" applyFont="1" applyFill="1" applyBorder="1" applyAlignment="1" applyProtection="1">
      <alignment horizontal="center" vertical="center" wrapText="1"/>
      <protection hidden="1"/>
    </xf>
    <xf numFmtId="0" fontId="49" fillId="19" borderId="0" xfId="0" applyFont="1" applyFill="1"/>
    <xf numFmtId="0" fontId="7" fillId="19" borderId="0" xfId="2" applyFont="1" applyFill="1" applyProtection="1">
      <protection locked="0"/>
    </xf>
    <xf numFmtId="0" fontId="51" fillId="18" borderId="0" xfId="2" applyFont="1" applyFill="1" applyBorder="1" applyAlignment="1" applyProtection="1">
      <alignment horizontal="left" vertical="center" wrapText="1"/>
    </xf>
    <xf numFmtId="0" fontId="52" fillId="19" borderId="0" xfId="0" applyFont="1" applyFill="1" applyAlignment="1">
      <alignment horizontal="left"/>
    </xf>
    <xf numFmtId="0" fontId="7" fillId="16" borderId="52" xfId="2" applyFont="1" applyFill="1" applyBorder="1" applyAlignment="1" applyProtection="1">
      <alignment horizontal="center"/>
    </xf>
    <xf numFmtId="165" fontId="7" fillId="0" borderId="52" xfId="2" applyNumberFormat="1" applyFont="1" applyBorder="1" applyAlignment="1" applyProtection="1">
      <alignment horizontal="center"/>
      <protection locked="0"/>
    </xf>
    <xf numFmtId="0" fontId="49" fillId="19" borderId="0" xfId="0" applyFont="1" applyFill="1" applyAlignment="1">
      <alignment horizontal="center"/>
    </xf>
    <xf numFmtId="0" fontId="56" fillId="19" borderId="0" xfId="0" applyFont="1" applyFill="1" applyBorder="1" applyAlignment="1">
      <alignment horizontal="center"/>
    </xf>
    <xf numFmtId="173" fontId="55" fillId="19" borderId="0" xfId="9" applyNumberFormat="1" applyFont="1" applyFill="1" applyBorder="1" applyAlignment="1">
      <alignment vertical="center"/>
    </xf>
    <xf numFmtId="0" fontId="48" fillId="0" borderId="52" xfId="0" applyFont="1" applyBorder="1" applyAlignment="1" applyProtection="1">
      <protection hidden="1"/>
    </xf>
    <xf numFmtId="0" fontId="0" fillId="0" borderId="52" xfId="0" applyFont="1" applyFill="1" applyBorder="1" applyProtection="1">
      <protection hidden="1"/>
    </xf>
    <xf numFmtId="0" fontId="0" fillId="0" borderId="0" xfId="0" applyFont="1" applyBorder="1" applyAlignment="1" applyProtection="1">
      <alignment horizontal="center"/>
      <protection hidden="1"/>
    </xf>
    <xf numFmtId="0" fontId="0" fillId="0" borderId="52" xfId="0" applyFont="1" applyBorder="1" applyAlignment="1" applyProtection="1">
      <alignment horizontal="center"/>
      <protection hidden="1"/>
    </xf>
    <xf numFmtId="8" fontId="0" fillId="0" borderId="52" xfId="0" applyNumberFormat="1" applyFont="1" applyBorder="1" applyAlignment="1" applyProtection="1">
      <alignment horizontal="center"/>
      <protection hidden="1"/>
    </xf>
    <xf numFmtId="171" fontId="0" fillId="0" borderId="52" xfId="0" applyNumberFormat="1" applyFont="1" applyFill="1" applyBorder="1" applyAlignment="1" applyProtection="1">
      <alignment horizontal="center"/>
      <protection hidden="1"/>
    </xf>
    <xf numFmtId="9" fontId="0" fillId="0" borderId="52" xfId="0" applyNumberFormat="1" applyFont="1" applyFill="1" applyBorder="1" applyAlignment="1" applyProtection="1">
      <alignment horizontal="center"/>
      <protection hidden="1"/>
    </xf>
    <xf numFmtId="9" fontId="0" fillId="0" borderId="0" xfId="0" applyNumberFormat="1" applyFont="1" applyFill="1" applyBorder="1" applyAlignment="1" applyProtection="1">
      <alignment horizontal="center"/>
      <protection hidden="1"/>
    </xf>
    <xf numFmtId="0" fontId="12" fillId="0" borderId="52" xfId="8" applyFont="1" applyBorder="1" applyProtection="1">
      <protection hidden="1"/>
    </xf>
    <xf numFmtId="0" fontId="48" fillId="0" borderId="52" xfId="0" applyFont="1" applyBorder="1" applyAlignment="1" applyProtection="1">
      <alignment horizontal="center"/>
      <protection hidden="1"/>
    </xf>
    <xf numFmtId="0" fontId="0" fillId="0" borderId="15" xfId="0" applyFont="1" applyBorder="1" applyAlignment="1" applyProtection="1">
      <alignment horizontal="center"/>
      <protection hidden="1"/>
    </xf>
    <xf numFmtId="8" fontId="0" fillId="0" borderId="0" xfId="0" applyNumberFormat="1" applyFont="1" applyBorder="1" applyAlignment="1" applyProtection="1">
      <alignment horizontal="center"/>
      <protection hidden="1"/>
    </xf>
    <xf numFmtId="0" fontId="58" fillId="0" borderId="52" xfId="0" applyFont="1" applyBorder="1" applyAlignment="1">
      <alignment horizontal="center"/>
    </xf>
    <xf numFmtId="0" fontId="48" fillId="0" borderId="57" xfId="0" applyFont="1" applyBorder="1" applyAlignment="1" applyProtection="1">
      <protection hidden="1"/>
    </xf>
    <xf numFmtId="0" fontId="58" fillId="0" borderId="52" xfId="0" applyFont="1" applyBorder="1"/>
    <xf numFmtId="0" fontId="12" fillId="0" borderId="52" xfId="8" applyFont="1" applyFill="1" applyBorder="1" applyProtection="1">
      <protection hidden="1"/>
    </xf>
    <xf numFmtId="0" fontId="59" fillId="0" borderId="52" xfId="0" applyFont="1" applyBorder="1" applyAlignment="1">
      <alignment horizontal="center"/>
    </xf>
    <xf numFmtId="0" fontId="0" fillId="0" borderId="52" xfId="0" quotePrefix="1" applyFont="1" applyBorder="1" applyAlignment="1" applyProtection="1">
      <alignment horizontal="center"/>
      <protection hidden="1"/>
    </xf>
    <xf numFmtId="0" fontId="61" fillId="19" borderId="0" xfId="0" applyFont="1" applyFill="1"/>
    <xf numFmtId="0" fontId="62" fillId="19" borderId="0" xfId="0" applyFont="1" applyFill="1" applyAlignment="1">
      <alignment horizontal="right"/>
    </xf>
    <xf numFmtId="0" fontId="64" fillId="19" borderId="0" xfId="0" applyFont="1" applyFill="1" applyAlignment="1">
      <alignment horizontal="right"/>
    </xf>
    <xf numFmtId="0" fontId="49" fillId="19" borderId="0" xfId="0" applyFont="1" applyFill="1" applyAlignment="1">
      <alignment horizontal="left"/>
    </xf>
    <xf numFmtId="0" fontId="52" fillId="19" borderId="0" xfId="0" applyFont="1" applyFill="1" applyAlignment="1">
      <alignment horizontal="right"/>
    </xf>
    <xf numFmtId="0" fontId="49" fillId="19" borderId="0" xfId="0" applyFont="1" applyFill="1" applyBorder="1" applyAlignment="1">
      <alignment horizontal="left"/>
    </xf>
    <xf numFmtId="0" fontId="56" fillId="19" borderId="0" xfId="0" applyFont="1" applyFill="1" applyAlignment="1">
      <alignment horizontal="right"/>
    </xf>
    <xf numFmtId="0" fontId="51" fillId="18" borderId="0" xfId="2" applyFont="1" applyFill="1" applyAlignment="1" applyProtection="1">
      <alignment horizontal="left" vertical="center"/>
    </xf>
    <xf numFmtId="0" fontId="7" fillId="0" borderId="0" xfId="2" applyFont="1" applyAlignment="1" applyProtection="1">
      <alignment horizontal="center" vertical="center"/>
      <protection locked="0"/>
    </xf>
    <xf numFmtId="0" fontId="67" fillId="0" borderId="0" xfId="2" applyFont="1" applyAlignment="1" applyProtection="1">
      <alignment horizontal="left" vertical="center"/>
      <protection locked="0"/>
    </xf>
    <xf numFmtId="0" fontId="60" fillId="0" borderId="0" xfId="2" applyFont="1" applyAlignment="1" applyProtection="1">
      <alignment horizontal="center" vertical="center"/>
      <protection locked="0"/>
    </xf>
    <xf numFmtId="0" fontId="68" fillId="0" borderId="0" xfId="2" applyFont="1" applyAlignment="1" applyProtection="1">
      <alignment horizontal="left" vertical="center"/>
      <protection locked="0"/>
    </xf>
    <xf numFmtId="0" fontId="7" fillId="0" borderId="0" xfId="2" applyFont="1" applyBorder="1" applyAlignment="1" applyProtection="1">
      <alignment horizontal="center" vertical="center"/>
      <protection locked="0"/>
    </xf>
    <xf numFmtId="0" fontId="60" fillId="0" borderId="0" xfId="2" applyFont="1" applyBorder="1" applyAlignment="1" applyProtection="1">
      <alignment horizontal="center" vertical="center"/>
      <protection locked="0"/>
    </xf>
    <xf numFmtId="0" fontId="7" fillId="0" borderId="0" xfId="2" applyFont="1" applyAlignment="1" applyProtection="1">
      <alignment horizontal="center" vertical="center" wrapText="1"/>
      <protection locked="0"/>
    </xf>
    <xf numFmtId="0" fontId="54" fillId="17" borderId="126" xfId="2" applyFont="1" applyFill="1" applyBorder="1" applyAlignment="1" applyProtection="1">
      <alignment horizontal="center" vertical="center" wrapText="1"/>
      <protection locked="0"/>
    </xf>
    <xf numFmtId="0" fontId="54" fillId="17" borderId="15" xfId="2" applyFont="1" applyFill="1" applyBorder="1" applyAlignment="1" applyProtection="1">
      <alignment horizontal="center" vertical="center" wrapText="1"/>
      <protection locked="0"/>
    </xf>
    <xf numFmtId="0" fontId="54" fillId="17" borderId="125" xfId="2" applyFont="1" applyFill="1" applyBorder="1" applyAlignment="1" applyProtection="1">
      <alignment horizontal="center" vertical="center" wrapText="1"/>
      <protection locked="0"/>
    </xf>
    <xf numFmtId="0" fontId="69" fillId="16" borderId="126" xfId="0" applyFont="1" applyFill="1" applyBorder="1" applyAlignment="1" applyProtection="1">
      <alignment horizontal="center" vertical="center"/>
      <protection hidden="1"/>
    </xf>
    <xf numFmtId="10" fontId="7" fillId="16" borderId="15" xfId="2" applyNumberFormat="1" applyFont="1" applyFill="1" applyBorder="1" applyAlignment="1" applyProtection="1">
      <alignment horizontal="center" vertical="center"/>
      <protection hidden="1"/>
    </xf>
    <xf numFmtId="1" fontId="7" fillId="16" borderId="125" xfId="2" applyNumberFormat="1" applyFont="1" applyFill="1" applyBorder="1" applyAlignment="1" applyProtection="1">
      <alignment horizontal="center" vertical="center"/>
      <protection hidden="1"/>
    </xf>
    <xf numFmtId="167" fontId="7" fillId="0" borderId="0" xfId="2" applyNumberFormat="1" applyFont="1" applyAlignment="1" applyProtection="1">
      <alignment horizontal="center" vertical="center"/>
      <protection locked="0"/>
    </xf>
    <xf numFmtId="0" fontId="7" fillId="0" borderId="0" xfId="2" applyFont="1" applyAlignment="1" applyProtection="1">
      <alignment horizontal="center" vertical="center"/>
      <protection hidden="1"/>
    </xf>
    <xf numFmtId="0" fontId="60" fillId="0" borderId="26" xfId="2" applyFont="1" applyBorder="1" applyAlignment="1" applyProtection="1">
      <alignment horizontal="center" vertical="center"/>
      <protection hidden="1"/>
    </xf>
    <xf numFmtId="168" fontId="54" fillId="17" borderId="3" xfId="2" applyNumberFormat="1" applyFont="1" applyFill="1" applyBorder="1" applyAlignment="1" applyProtection="1">
      <alignment horizontal="center" vertical="center"/>
      <protection hidden="1"/>
    </xf>
    <xf numFmtId="168" fontId="54" fillId="17" borderId="31" xfId="2" applyNumberFormat="1" applyFont="1" applyFill="1" applyBorder="1" applyAlignment="1" applyProtection="1">
      <alignment horizontal="center" vertical="center"/>
      <protection hidden="1"/>
    </xf>
    <xf numFmtId="0" fontId="54" fillId="17" borderId="26" xfId="2" applyFont="1" applyFill="1" applyBorder="1" applyAlignment="1" applyProtection="1">
      <alignment horizontal="center" vertical="center"/>
      <protection hidden="1"/>
    </xf>
    <xf numFmtId="168" fontId="54" fillId="17" borderId="75" xfId="2" applyNumberFormat="1" applyFont="1" applyFill="1" applyBorder="1" applyAlignment="1" applyProtection="1">
      <alignment horizontal="center" vertical="center"/>
      <protection hidden="1"/>
    </xf>
    <xf numFmtId="168" fontId="7" fillId="0" borderId="0" xfId="2" applyNumberFormat="1" applyFont="1" applyAlignment="1" applyProtection="1">
      <alignment horizontal="center" vertical="center"/>
      <protection hidden="1"/>
    </xf>
    <xf numFmtId="0" fontId="60" fillId="0" borderId="0" xfId="2" applyFont="1" applyAlignment="1" applyProtection="1">
      <alignment horizontal="center" vertical="center"/>
      <protection hidden="1"/>
    </xf>
    <xf numFmtId="0" fontId="60" fillId="0" borderId="0" xfId="2" applyFont="1" applyFill="1" applyBorder="1" applyAlignment="1" applyProtection="1">
      <alignment horizontal="center" vertical="center"/>
      <protection locked="0"/>
    </xf>
    <xf numFmtId="2" fontId="54" fillId="17" borderId="98" xfId="2" applyNumberFormat="1" applyFont="1" applyFill="1" applyBorder="1" applyAlignment="1" applyProtection="1">
      <alignment horizontal="center" vertical="center"/>
      <protection hidden="1"/>
    </xf>
    <xf numFmtId="168" fontId="54" fillId="17" borderId="98" xfId="2" applyNumberFormat="1" applyFont="1" applyFill="1" applyBorder="1" applyAlignment="1" applyProtection="1">
      <alignment horizontal="center" vertical="center"/>
      <protection hidden="1"/>
    </xf>
    <xf numFmtId="0" fontId="54" fillId="17" borderId="119" xfId="2" applyFont="1" applyFill="1" applyBorder="1" applyAlignment="1" applyProtection="1">
      <alignment horizontal="center" vertical="center" wrapText="1"/>
      <protection locked="0"/>
    </xf>
    <xf numFmtId="0" fontId="54" fillId="17" borderId="110" xfId="2" applyFont="1" applyFill="1" applyBorder="1" applyAlignment="1" applyProtection="1">
      <alignment horizontal="center" vertical="center" wrapText="1"/>
      <protection hidden="1"/>
    </xf>
    <xf numFmtId="166" fontId="70" fillId="17" borderId="111" xfId="2" applyNumberFormat="1" applyFont="1" applyFill="1" applyBorder="1" applyAlignment="1" applyProtection="1">
      <alignment horizontal="center" vertical="center"/>
      <protection hidden="1"/>
    </xf>
    <xf numFmtId="0" fontId="7" fillId="0" borderId="107" xfId="2" applyFont="1" applyBorder="1" applyAlignment="1" applyProtection="1">
      <alignment horizontal="center" vertical="center"/>
      <protection hidden="1"/>
    </xf>
    <xf numFmtId="1" fontId="7" fillId="0" borderId="107" xfId="1" applyNumberFormat="1" applyFont="1" applyBorder="1" applyAlignment="1" applyProtection="1">
      <alignment horizontal="center" vertical="center"/>
      <protection hidden="1"/>
    </xf>
    <xf numFmtId="0" fontId="7" fillId="0" borderId="117" xfId="2" applyFont="1" applyBorder="1" applyAlignment="1" applyProtection="1">
      <alignment horizontal="center" vertical="center"/>
      <protection locked="0"/>
    </xf>
    <xf numFmtId="0" fontId="71" fillId="16" borderId="102" xfId="2" applyFont="1" applyFill="1" applyBorder="1" applyAlignment="1" applyProtection="1">
      <alignment horizontal="center" vertical="center" wrapText="1"/>
      <protection hidden="1"/>
    </xf>
    <xf numFmtId="166" fontId="60" fillId="16" borderId="103" xfId="4" applyNumberFormat="1" applyFont="1" applyFill="1" applyBorder="1" applyAlignment="1" applyProtection="1">
      <alignment horizontal="center" vertical="center"/>
      <protection hidden="1"/>
    </xf>
    <xf numFmtId="0" fontId="7" fillId="0" borderId="0" xfId="2" applyFont="1" applyFill="1" applyBorder="1" applyAlignment="1" applyProtection="1">
      <alignment horizontal="center" vertical="center"/>
      <protection locked="0"/>
    </xf>
    <xf numFmtId="0" fontId="7" fillId="0" borderId="124" xfId="2" applyFont="1" applyBorder="1" applyAlignment="1" applyProtection="1">
      <alignment horizontal="center" vertical="center"/>
      <protection hidden="1"/>
    </xf>
    <xf numFmtId="0" fontId="7" fillId="0" borderId="108" xfId="2" applyFont="1" applyBorder="1" applyAlignment="1" applyProtection="1">
      <alignment horizontal="center" vertical="center"/>
      <protection hidden="1"/>
    </xf>
    <xf numFmtId="1" fontId="7" fillId="0" borderId="108" xfId="1" applyNumberFormat="1" applyFont="1" applyBorder="1" applyAlignment="1" applyProtection="1">
      <alignment horizontal="center" vertical="center"/>
      <protection hidden="1"/>
    </xf>
    <xf numFmtId="0" fontId="7" fillId="0" borderId="121" xfId="2" applyFont="1" applyBorder="1" applyAlignment="1" applyProtection="1">
      <alignment horizontal="center" vertical="center"/>
      <protection locked="0"/>
    </xf>
    <xf numFmtId="43" fontId="7" fillId="16" borderId="103" xfId="3" applyFont="1" applyFill="1" applyBorder="1" applyAlignment="1" applyProtection="1">
      <alignment horizontal="center" vertical="center"/>
      <protection hidden="1"/>
    </xf>
    <xf numFmtId="0" fontId="7" fillId="0" borderId="108" xfId="2" applyFont="1" applyBorder="1" applyAlignment="1" applyProtection="1">
      <alignment horizontal="center" vertical="center"/>
      <protection locked="0"/>
    </xf>
    <xf numFmtId="1" fontId="7" fillId="0" borderId="108" xfId="1" applyNumberFormat="1" applyFont="1" applyBorder="1" applyAlignment="1" applyProtection="1">
      <alignment horizontal="center" vertical="center"/>
      <protection locked="0"/>
    </xf>
    <xf numFmtId="168" fontId="60" fillId="9" borderId="103" xfId="2" applyNumberFormat="1" applyFont="1" applyFill="1" applyBorder="1" applyAlignment="1" applyProtection="1">
      <alignment horizontal="center" vertical="center"/>
      <protection hidden="1"/>
    </xf>
    <xf numFmtId="0" fontId="7" fillId="0" borderId="108" xfId="2" applyFont="1" applyBorder="1" applyAlignment="1" applyProtection="1">
      <alignment horizontal="center" vertical="center" wrapText="1"/>
      <protection locked="0"/>
    </xf>
    <xf numFmtId="0" fontId="7" fillId="0" borderId="108" xfId="1" applyNumberFormat="1" applyFont="1" applyBorder="1" applyAlignment="1" applyProtection="1">
      <alignment horizontal="center" vertical="center"/>
      <protection locked="0"/>
    </xf>
    <xf numFmtId="0" fontId="71" fillId="16" borderId="104" xfId="2" applyFont="1" applyFill="1" applyBorder="1" applyAlignment="1" applyProtection="1">
      <alignment horizontal="center" vertical="center" wrapText="1"/>
      <protection hidden="1"/>
    </xf>
    <xf numFmtId="170" fontId="7" fillId="16" borderId="106" xfId="5" applyNumberFormat="1" applyFont="1" applyFill="1" applyBorder="1" applyAlignment="1" applyProtection="1">
      <alignment horizontal="center" vertical="center"/>
      <protection hidden="1"/>
    </xf>
    <xf numFmtId="0" fontId="7" fillId="0" borderId="109" xfId="2" applyFont="1" applyBorder="1" applyAlignment="1" applyProtection="1">
      <alignment horizontal="center" vertical="center"/>
      <protection locked="0"/>
    </xf>
    <xf numFmtId="0" fontId="7" fillId="0" borderId="109" xfId="2" applyFont="1" applyBorder="1" applyAlignment="1" applyProtection="1">
      <alignment horizontal="center" vertical="center" wrapText="1"/>
      <protection locked="0"/>
    </xf>
    <xf numFmtId="1" fontId="7" fillId="0" borderId="109" xfId="1" applyNumberFormat="1" applyFont="1" applyBorder="1" applyAlignment="1" applyProtection="1">
      <alignment horizontal="center" vertical="center"/>
      <protection locked="0"/>
    </xf>
    <xf numFmtId="0" fontId="7" fillId="0" borderId="122" xfId="2" applyFont="1" applyBorder="1" applyAlignment="1" applyProtection="1">
      <alignment horizontal="center" vertical="center"/>
      <protection locked="0"/>
    </xf>
    <xf numFmtId="0" fontId="54" fillId="17" borderId="100" xfId="2" applyFont="1" applyFill="1" applyBorder="1" applyAlignment="1" applyProtection="1">
      <alignment horizontal="center" vertical="center"/>
      <protection locked="0"/>
    </xf>
    <xf numFmtId="168" fontId="54" fillId="17" borderId="101" xfId="2" applyNumberFormat="1" applyFont="1" applyFill="1" applyBorder="1" applyAlignment="1" applyProtection="1">
      <alignment horizontal="center" vertical="center"/>
      <protection locked="0"/>
    </xf>
    <xf numFmtId="0" fontId="54" fillId="17" borderId="98" xfId="2" applyFont="1" applyFill="1" applyBorder="1" applyAlignment="1" applyProtection="1">
      <alignment horizontal="center" vertical="center" wrapText="1"/>
      <protection locked="0"/>
    </xf>
    <xf numFmtId="1" fontId="7" fillId="0" borderId="104" xfId="2" applyNumberFormat="1" applyFont="1" applyBorder="1" applyAlignment="1" applyProtection="1">
      <alignment horizontal="center" vertical="center"/>
      <protection locked="0"/>
    </xf>
    <xf numFmtId="1" fontId="7" fillId="0" borderId="105" xfId="2" applyNumberFormat="1" applyFont="1" applyBorder="1" applyAlignment="1" applyProtection="1">
      <alignment horizontal="center" vertical="center"/>
      <protection locked="0"/>
    </xf>
    <xf numFmtId="1" fontId="7" fillId="0" borderId="106" xfId="2" applyNumberFormat="1" applyFont="1" applyBorder="1" applyAlignment="1" applyProtection="1">
      <alignment horizontal="center" vertical="center"/>
      <protection locked="0"/>
    </xf>
    <xf numFmtId="168" fontId="7" fillId="0" borderId="0" xfId="2" applyNumberFormat="1" applyFont="1" applyAlignment="1" applyProtection="1">
      <alignment horizontal="center" vertical="center"/>
      <protection locked="0"/>
    </xf>
    <xf numFmtId="1" fontId="7" fillId="0" borderId="28" xfId="2" applyNumberFormat="1" applyFont="1" applyBorder="1" applyAlignment="1" applyProtection="1">
      <alignment horizontal="center" vertical="center"/>
      <protection hidden="1"/>
    </xf>
    <xf numFmtId="0" fontId="60" fillId="0" borderId="3" xfId="2" applyFont="1" applyBorder="1" applyAlignment="1" applyProtection="1">
      <alignment horizontal="right" vertical="center"/>
      <protection hidden="1"/>
    </xf>
    <xf numFmtId="0" fontId="40" fillId="3" borderId="52" xfId="0" applyNumberFormat="1" applyFont="1" applyFill="1" applyBorder="1" applyAlignment="1" applyProtection="1">
      <alignment horizontal="center" vertical="center"/>
      <protection hidden="1"/>
    </xf>
    <xf numFmtId="165" fontId="40" fillId="3" borderId="52" xfId="0" applyNumberFormat="1" applyFont="1" applyFill="1" applyBorder="1" applyAlignment="1" applyProtection="1">
      <alignment horizontal="center" vertical="center"/>
      <protection hidden="1"/>
    </xf>
    <xf numFmtId="1" fontId="40" fillId="3" borderId="52" xfId="0" applyNumberFormat="1" applyFont="1" applyFill="1" applyBorder="1" applyAlignment="1" applyProtection="1">
      <alignment horizontal="center" vertical="center"/>
      <protection hidden="1"/>
    </xf>
    <xf numFmtId="1" fontId="38" fillId="3" borderId="52" xfId="0" applyNumberFormat="1" applyFont="1" applyFill="1" applyBorder="1" applyAlignment="1" applyProtection="1">
      <alignment horizontal="center"/>
      <protection hidden="1"/>
    </xf>
    <xf numFmtId="0" fontId="40" fillId="3" borderId="52" xfId="0" applyFont="1" applyFill="1" applyBorder="1" applyAlignment="1" applyProtection="1">
      <alignment horizontal="center" vertical="center"/>
      <protection hidden="1"/>
    </xf>
    <xf numFmtId="1" fontId="40" fillId="2" borderId="52" xfId="0" applyNumberFormat="1" applyFont="1" applyFill="1" applyBorder="1" applyAlignment="1" applyProtection="1">
      <alignment horizontal="center" vertical="center"/>
      <protection hidden="1"/>
    </xf>
    <xf numFmtId="1" fontId="40" fillId="2" borderId="15" xfId="0" applyNumberFormat="1" applyFont="1" applyFill="1" applyBorder="1" applyAlignment="1" applyProtection="1">
      <alignment horizontal="center" vertical="center"/>
      <protection hidden="1"/>
    </xf>
    <xf numFmtId="1" fontId="40" fillId="2" borderId="23" xfId="0" applyNumberFormat="1" applyFont="1" applyFill="1" applyBorder="1" applyAlignment="1" applyProtection="1">
      <alignment horizontal="center" vertical="center"/>
      <protection hidden="1"/>
    </xf>
    <xf numFmtId="0" fontId="54" fillId="17" borderId="52" xfId="2" applyNumberFormat="1" applyFont="1" applyFill="1" applyBorder="1" applyAlignment="1" applyProtection="1">
      <alignment horizontal="center" vertical="center" wrapText="1"/>
      <protection locked="0"/>
    </xf>
    <xf numFmtId="0" fontId="7" fillId="0" borderId="52" xfId="2" applyNumberFormat="1" applyFont="1" applyBorder="1" applyAlignment="1" applyProtection="1">
      <alignment horizontal="center" vertical="center"/>
      <protection locked="0"/>
    </xf>
    <xf numFmtId="0" fontId="7" fillId="16" borderId="52" xfId="2" applyFont="1" applyFill="1" applyBorder="1" applyAlignment="1" applyProtection="1">
      <alignment horizontal="center" vertical="center"/>
      <protection hidden="1"/>
    </xf>
    <xf numFmtId="1" fontId="7" fillId="0" borderId="52" xfId="2" applyNumberFormat="1" applyFont="1" applyBorder="1" applyAlignment="1" applyProtection="1">
      <alignment horizontal="center" vertical="center"/>
      <protection locked="0"/>
    </xf>
    <xf numFmtId="168" fontId="7" fillId="16" borderId="52" xfId="2" applyNumberFormat="1" applyFont="1" applyFill="1" applyBorder="1" applyAlignment="1" applyProtection="1">
      <alignment horizontal="center" vertical="center"/>
      <protection hidden="1"/>
    </xf>
    <xf numFmtId="0" fontId="7" fillId="0" borderId="52" xfId="2" applyNumberFormat="1" applyFont="1" applyFill="1" applyBorder="1" applyAlignment="1" applyProtection="1">
      <alignment horizontal="center" vertical="center"/>
      <protection locked="0"/>
    </xf>
    <xf numFmtId="0" fontId="60" fillId="0" borderId="52" xfId="2" applyFont="1" applyBorder="1" applyAlignment="1" applyProtection="1">
      <alignment horizontal="center" vertical="center"/>
      <protection locked="0"/>
    </xf>
    <xf numFmtId="166" fontId="7" fillId="8" borderId="52" xfId="2" applyNumberFormat="1" applyFont="1" applyFill="1" applyBorder="1" applyAlignment="1" applyProtection="1">
      <alignment horizontal="center" vertical="center"/>
      <protection hidden="1"/>
    </xf>
    <xf numFmtId="49" fontId="7" fillId="0" borderId="52" xfId="2" applyNumberFormat="1" applyFont="1" applyFill="1" applyBorder="1" applyAlignment="1" applyProtection="1">
      <alignment horizontal="left"/>
      <protection locked="0"/>
    </xf>
    <xf numFmtId="49" fontId="7" fillId="0" borderId="52" xfId="2" applyNumberFormat="1" applyFont="1" applyBorder="1" applyAlignment="1" applyProtection="1">
      <alignment horizontal="left"/>
      <protection locked="0"/>
    </xf>
    <xf numFmtId="0" fontId="49" fillId="0" borderId="52" xfId="0" applyFont="1" applyBorder="1" applyAlignment="1">
      <alignment horizontal="center" vertical="center" wrapText="1"/>
    </xf>
    <xf numFmtId="172" fontId="56" fillId="0" borderId="52" xfId="10" applyNumberFormat="1" applyFont="1" applyBorder="1" applyAlignment="1">
      <alignment horizontal="center"/>
    </xf>
    <xf numFmtId="0" fontId="7" fillId="20" borderId="52" xfId="2" applyFont="1" applyFill="1" applyBorder="1" applyAlignment="1" applyProtection="1">
      <alignment horizontal="center"/>
    </xf>
    <xf numFmtId="0" fontId="7" fillId="0" borderId="52" xfId="2" applyFont="1" applyBorder="1" applyAlignment="1" applyProtection="1">
      <alignment horizontal="left"/>
      <protection locked="0"/>
    </xf>
    <xf numFmtId="0" fontId="54" fillId="17" borderId="52" xfId="2" applyFont="1" applyFill="1" applyBorder="1" applyAlignment="1" applyProtection="1">
      <alignment horizontal="center" vertical="center" wrapText="1"/>
      <protection locked="0"/>
    </xf>
    <xf numFmtId="0" fontId="54" fillId="17" borderId="52" xfId="2" applyFont="1" applyFill="1" applyBorder="1" applyAlignment="1" applyProtection="1">
      <alignment horizontal="center" vertical="center"/>
      <protection locked="0"/>
    </xf>
    <xf numFmtId="0" fontId="47" fillId="17" borderId="52" xfId="0" applyFont="1" applyFill="1" applyBorder="1" applyAlignment="1" applyProtection="1">
      <alignment horizontal="center" vertical="center"/>
      <protection hidden="1"/>
    </xf>
    <xf numFmtId="0" fontId="60" fillId="0" borderId="0" xfId="2" applyFont="1" applyFill="1" applyBorder="1" applyAlignment="1" applyProtection="1">
      <alignment horizontal="center" vertical="center"/>
      <protection hidden="1"/>
    </xf>
    <xf numFmtId="0" fontId="54" fillId="17" borderId="99" xfId="2" applyFont="1" applyFill="1" applyBorder="1" applyAlignment="1" applyProtection="1">
      <alignment horizontal="center" vertical="center"/>
      <protection locked="0"/>
    </xf>
    <xf numFmtId="0" fontId="54" fillId="0" borderId="0" xfId="2" applyFont="1" applyFill="1" applyBorder="1" applyAlignment="1" applyProtection="1">
      <alignment horizontal="center" vertical="center" wrapText="1"/>
      <protection hidden="1"/>
    </xf>
    <xf numFmtId="0" fontId="39" fillId="17" borderId="52" xfId="0" applyFont="1" applyFill="1" applyBorder="1" applyAlignment="1" applyProtection="1">
      <alignment horizontal="center" vertical="center"/>
      <protection hidden="1"/>
    </xf>
    <xf numFmtId="0" fontId="39" fillId="17" borderId="52" xfId="0" applyFont="1" applyFill="1" applyBorder="1" applyAlignment="1" applyProtection="1">
      <alignment horizontal="center" vertical="center" wrapText="1"/>
      <protection hidden="1"/>
    </xf>
    <xf numFmtId="0" fontId="4" fillId="0" borderId="0" xfId="2" applyFont="1" applyFill="1" applyAlignment="1" applyProtection="1">
      <alignment horizontal="center" vertical="center" wrapText="1"/>
      <protection hidden="1"/>
    </xf>
    <xf numFmtId="0" fontId="13" fillId="2" borderId="0" xfId="0" applyFont="1" applyFill="1" applyBorder="1" applyAlignment="1" applyProtection="1">
      <alignment horizontal="left" vertical="center"/>
      <protection hidden="1"/>
    </xf>
    <xf numFmtId="0" fontId="22" fillId="0" borderId="82" xfId="0" applyFont="1" applyBorder="1" applyAlignment="1" applyProtection="1">
      <alignment horizontal="center" vertical="center"/>
      <protection hidden="1"/>
    </xf>
    <xf numFmtId="0" fontId="19" fillId="0" borderId="80" xfId="0" applyFont="1" applyBorder="1" applyAlignment="1" applyProtection="1">
      <alignment horizontal="center" vertical="center" wrapText="1"/>
      <protection hidden="1"/>
    </xf>
    <xf numFmtId="0" fontId="48" fillId="0" borderId="52" xfId="0" applyFont="1" applyFill="1" applyBorder="1" applyAlignment="1" applyProtection="1">
      <protection hidden="1"/>
    </xf>
    <xf numFmtId="0" fontId="0" fillId="0" borderId="52" xfId="0" applyFont="1" applyFill="1" applyBorder="1" applyAlignment="1" applyProtection="1">
      <alignment horizontal="center"/>
      <protection hidden="1"/>
    </xf>
    <xf numFmtId="8" fontId="0" fillId="0" borderId="52" xfId="0" applyNumberFormat="1" applyFont="1" applyFill="1" applyBorder="1" applyAlignment="1" applyProtection="1">
      <alignment horizontal="center"/>
      <protection hidden="1"/>
    </xf>
    <xf numFmtId="0" fontId="48" fillId="0" borderId="57" xfId="0" applyFont="1" applyFill="1" applyBorder="1" applyAlignment="1" applyProtection="1">
      <protection hidden="1"/>
    </xf>
    <xf numFmtId="0" fontId="48" fillId="21" borderId="52" xfId="0" applyFont="1" applyFill="1" applyBorder="1" applyAlignment="1" applyProtection="1">
      <protection hidden="1"/>
    </xf>
    <xf numFmtId="0" fontId="0" fillId="21" borderId="52" xfId="0" applyFont="1" applyFill="1" applyBorder="1" applyProtection="1">
      <protection hidden="1"/>
    </xf>
    <xf numFmtId="0" fontId="0" fillId="21" borderId="52" xfId="0" applyFont="1" applyFill="1" applyBorder="1" applyAlignment="1" applyProtection="1">
      <alignment horizontal="center"/>
      <protection hidden="1"/>
    </xf>
    <xf numFmtId="8" fontId="0" fillId="21" borderId="52" xfId="0" applyNumberFormat="1" applyFont="1" applyFill="1" applyBorder="1" applyAlignment="1" applyProtection="1">
      <alignment horizontal="center"/>
      <protection hidden="1"/>
    </xf>
    <xf numFmtId="171" fontId="0" fillId="21" borderId="52" xfId="0" applyNumberFormat="1" applyFont="1" applyFill="1" applyBorder="1" applyAlignment="1" applyProtection="1">
      <alignment horizontal="center"/>
      <protection hidden="1"/>
    </xf>
    <xf numFmtId="9" fontId="0" fillId="21" borderId="52" xfId="0" applyNumberFormat="1" applyFont="1" applyFill="1" applyBorder="1" applyAlignment="1" applyProtection="1">
      <alignment horizontal="center"/>
      <protection hidden="1"/>
    </xf>
    <xf numFmtId="0" fontId="12" fillId="21" borderId="52" xfId="8" applyFont="1" applyFill="1" applyBorder="1" applyProtection="1">
      <protection hidden="1"/>
    </xf>
    <xf numFmtId="0" fontId="48" fillId="21" borderId="57" xfId="0" applyFont="1" applyFill="1" applyBorder="1" applyAlignment="1" applyProtection="1">
      <protection hidden="1"/>
    </xf>
    <xf numFmtId="9" fontId="0" fillId="21" borderId="0" xfId="0" applyNumberFormat="1" applyFont="1" applyFill="1" applyBorder="1" applyAlignment="1" applyProtection="1">
      <alignment horizontal="center"/>
      <protection hidden="1"/>
    </xf>
    <xf numFmtId="0" fontId="59" fillId="21" borderId="52" xfId="0" applyFont="1" applyFill="1" applyBorder="1" applyAlignment="1">
      <alignment horizontal="center"/>
    </xf>
    <xf numFmtId="0" fontId="58" fillId="21" borderId="52" xfId="0" applyFont="1" applyFill="1" applyBorder="1" applyAlignment="1">
      <alignment horizontal="center"/>
    </xf>
    <xf numFmtId="0" fontId="48" fillId="10" borderId="55" xfId="0" applyFont="1" applyFill="1" applyBorder="1" applyAlignment="1" applyProtection="1">
      <alignment horizontal="center"/>
      <protection hidden="1"/>
    </xf>
    <xf numFmtId="0" fontId="48" fillId="0" borderId="55" xfId="0" applyFont="1" applyFill="1" applyBorder="1" applyAlignment="1" applyProtection="1">
      <alignment horizontal="center" vertical="center"/>
      <protection hidden="1"/>
    </xf>
    <xf numFmtId="0" fontId="48" fillId="0" borderId="55" xfId="0" applyFont="1" applyBorder="1" applyAlignment="1" applyProtection="1">
      <alignment horizontal="center"/>
      <protection hidden="1"/>
    </xf>
    <xf numFmtId="0" fontId="48" fillId="22" borderId="52" xfId="0" applyFont="1" applyFill="1" applyBorder="1" applyProtection="1">
      <protection hidden="1"/>
    </xf>
    <xf numFmtId="0" fontId="12" fillId="21" borderId="52" xfId="8" applyFill="1" applyBorder="1" applyProtection="1">
      <protection hidden="1"/>
    </xf>
    <xf numFmtId="9" fontId="0" fillId="23" borderId="52" xfId="0" applyNumberFormat="1" applyFont="1" applyFill="1" applyBorder="1" applyAlignment="1" applyProtection="1">
      <alignment horizontal="center"/>
      <protection hidden="1"/>
    </xf>
    <xf numFmtId="0" fontId="48" fillId="0" borderId="52" xfId="0" applyFont="1" applyBorder="1" applyProtection="1">
      <protection hidden="1"/>
    </xf>
    <xf numFmtId="0" fontId="7" fillId="0" borderId="0" xfId="2" applyFont="1" applyAlignment="1" applyProtection="1">
      <alignment horizontal="center" vertical="center"/>
    </xf>
    <xf numFmtId="0" fontId="7" fillId="0" borderId="0" xfId="2" applyFont="1" applyAlignment="1" applyProtection="1">
      <alignment horizontal="left" vertical="center"/>
    </xf>
    <xf numFmtId="49" fontId="7" fillId="24" borderId="52" xfId="2" applyNumberFormat="1" applyFont="1" applyFill="1" applyBorder="1" applyAlignment="1" applyProtection="1">
      <alignment horizontal="left"/>
    </xf>
    <xf numFmtId="49" fontId="7" fillId="0" borderId="52" xfId="2" applyNumberFormat="1" applyFont="1" applyFill="1" applyBorder="1" applyAlignment="1" applyProtection="1">
      <alignment horizontal="center" vertical="center"/>
      <protection locked="0"/>
    </xf>
    <xf numFmtId="0" fontId="49" fillId="19" borderId="0" xfId="0" applyFont="1" applyFill="1" applyProtection="1"/>
    <xf numFmtId="0" fontId="51" fillId="19" borderId="0" xfId="2" applyFont="1" applyFill="1" applyAlignment="1" applyProtection="1">
      <alignment vertical="top"/>
    </xf>
    <xf numFmtId="0" fontId="50" fillId="19" borderId="0" xfId="2" applyFont="1" applyFill="1" applyAlignment="1" applyProtection="1">
      <alignment vertical="center"/>
    </xf>
    <xf numFmtId="0" fontId="0" fillId="19" borderId="0" xfId="0" applyFont="1" applyFill="1" applyProtection="1">
      <protection hidden="1"/>
    </xf>
    <xf numFmtId="0" fontId="0" fillId="19" borderId="0" xfId="0" applyFont="1" applyFill="1" applyAlignment="1" applyProtection="1">
      <alignment horizontal="center"/>
      <protection hidden="1"/>
    </xf>
    <xf numFmtId="0" fontId="48" fillId="19" borderId="0" xfId="0" applyFont="1" applyFill="1" applyAlignment="1" applyProtection="1">
      <alignment horizontal="center"/>
      <protection hidden="1"/>
    </xf>
    <xf numFmtId="8" fontId="0" fillId="19" borderId="0" xfId="0" applyNumberFormat="1" applyFont="1" applyFill="1" applyAlignment="1" applyProtection="1">
      <alignment horizontal="center"/>
      <protection hidden="1"/>
    </xf>
    <xf numFmtId="0" fontId="49" fillId="0" borderId="0" xfId="0" applyFont="1" applyFill="1" applyProtection="1">
      <protection locked="0"/>
    </xf>
    <xf numFmtId="0" fontId="75" fillId="19" borderId="0" xfId="0" applyFont="1" applyFill="1" applyAlignment="1">
      <alignment horizontal="right"/>
    </xf>
    <xf numFmtId="0" fontId="7" fillId="0" borderId="52" xfId="2" applyFont="1" applyBorder="1" applyAlignment="1" applyProtection="1">
      <alignment horizontal="left"/>
      <protection locked="0"/>
    </xf>
    <xf numFmtId="0" fontId="74" fillId="18" borderId="0" xfId="8" applyFont="1" applyFill="1" applyAlignment="1" applyProtection="1">
      <alignment horizontal="left" vertical="top" wrapText="1"/>
      <protection locked="0"/>
    </xf>
    <xf numFmtId="0" fontId="12" fillId="0" borderId="52" xfId="8" applyBorder="1" applyProtection="1">
      <protection hidden="1"/>
    </xf>
    <xf numFmtId="0" fontId="12" fillId="0" borderId="0" xfId="8"/>
    <xf numFmtId="0" fontId="78" fillId="19" borderId="0" xfId="2" applyFont="1" applyFill="1" applyProtection="1">
      <protection locked="0"/>
    </xf>
    <xf numFmtId="0" fontId="78" fillId="19" borderId="0" xfId="0" applyFont="1" applyFill="1" applyAlignment="1">
      <alignment horizontal="left"/>
    </xf>
    <xf numFmtId="0" fontId="53" fillId="17" borderId="52" xfId="0" applyFont="1" applyFill="1" applyBorder="1" applyAlignment="1">
      <alignment horizontal="center" vertical="center" wrapText="1"/>
    </xf>
    <xf numFmtId="0" fontId="79" fillId="17" borderId="52" xfId="2" applyFont="1" applyFill="1" applyBorder="1" applyAlignment="1" applyProtection="1">
      <alignment horizontal="center" vertical="center" wrapText="1"/>
    </xf>
    <xf numFmtId="0" fontId="47" fillId="17" borderId="52" xfId="2" applyFont="1" applyFill="1" applyBorder="1" applyAlignment="1" applyProtection="1">
      <alignment horizontal="center" vertical="center" wrapText="1"/>
    </xf>
    <xf numFmtId="49" fontId="75" fillId="0" borderId="52" xfId="2" applyNumberFormat="1" applyFont="1" applyFill="1" applyBorder="1" applyAlignment="1" applyProtection="1">
      <alignment horizontal="left"/>
    </xf>
    <xf numFmtId="49" fontId="75" fillId="0" borderId="52" xfId="2" applyNumberFormat="1" applyFont="1" applyBorder="1" applyAlignment="1" applyProtection="1">
      <alignment horizontal="left"/>
    </xf>
    <xf numFmtId="1" fontId="75" fillId="0" borderId="52" xfId="2" applyNumberFormat="1" applyFont="1" applyBorder="1" applyAlignment="1" applyProtection="1">
      <alignment horizontal="center"/>
    </xf>
    <xf numFmtId="0" fontId="75" fillId="16" borderId="52" xfId="2" applyFont="1" applyFill="1" applyBorder="1" applyAlignment="1" applyProtection="1">
      <alignment horizontal="center"/>
    </xf>
    <xf numFmtId="0" fontId="77" fillId="19" borderId="0" xfId="0" applyFont="1" applyFill="1" applyAlignment="1">
      <alignment vertical="top" wrapText="1"/>
    </xf>
    <xf numFmtId="0" fontId="84" fillId="19" borderId="0" xfId="0" applyFont="1" applyFill="1"/>
    <xf numFmtId="0" fontId="0" fillId="19" borderId="0" xfId="0" applyFont="1" applyFill="1" applyAlignment="1">
      <alignment vertical="top"/>
    </xf>
    <xf numFmtId="172" fontId="56" fillId="19" borderId="52" xfId="9" applyNumberFormat="1" applyFont="1" applyFill="1" applyBorder="1" applyAlignment="1">
      <alignment horizontal="center" vertical="center"/>
    </xf>
    <xf numFmtId="42" fontId="56" fillId="19" borderId="52" xfId="10" applyFont="1" applyFill="1" applyBorder="1" applyAlignment="1">
      <alignment horizontal="center"/>
    </xf>
    <xf numFmtId="0" fontId="53" fillId="17" borderId="52" xfId="0" applyFont="1" applyFill="1" applyBorder="1" applyAlignment="1" applyProtection="1">
      <alignment horizontal="center" vertical="center" wrapText="1"/>
    </xf>
    <xf numFmtId="0" fontId="53" fillId="17" borderId="52" xfId="0" applyFont="1" applyFill="1" applyBorder="1" applyAlignment="1" applyProtection="1">
      <alignment horizontal="center" vertical="center"/>
    </xf>
    <xf numFmtId="0" fontId="85" fillId="19" borderId="0" xfId="2" applyFont="1" applyFill="1" applyAlignment="1" applyProtection="1">
      <alignment vertical="center"/>
    </xf>
    <xf numFmtId="0" fontId="12" fillId="18" borderId="127" xfId="8" applyFill="1" applyBorder="1" applyAlignment="1" applyProtection="1">
      <alignment horizontal="center"/>
      <protection locked="0"/>
    </xf>
    <xf numFmtId="0" fontId="84" fillId="19" borderId="0" xfId="8" applyFont="1" applyFill="1" applyAlignment="1" applyProtection="1">
      <alignment horizontal="right"/>
      <protection locked="0"/>
    </xf>
    <xf numFmtId="0" fontId="0" fillId="18" borderId="127" xfId="0" applyFont="1" applyFill="1" applyBorder="1" applyAlignment="1" applyProtection="1">
      <alignment horizontal="center"/>
      <protection locked="0"/>
    </xf>
    <xf numFmtId="0" fontId="49" fillId="0" borderId="0" xfId="0" applyFont="1" applyFill="1" applyBorder="1" applyAlignment="1" applyProtection="1">
      <alignment horizontal="left"/>
      <protection locked="0"/>
    </xf>
    <xf numFmtId="0" fontId="81" fillId="19" borderId="0" xfId="0" applyFont="1" applyFill="1" applyAlignment="1">
      <alignment horizontal="center"/>
    </xf>
    <xf numFmtId="0" fontId="82" fillId="19" borderId="0" xfId="8" applyFont="1" applyFill="1" applyAlignment="1" applyProtection="1">
      <alignment horizontal="center"/>
      <protection locked="0"/>
    </xf>
    <xf numFmtId="0" fontId="66" fillId="0" borderId="0" xfId="0" applyFont="1" applyFill="1" applyBorder="1" applyAlignment="1" applyProtection="1">
      <alignment horizontal="left"/>
      <protection locked="0"/>
    </xf>
    <xf numFmtId="0" fontId="63" fillId="0" borderId="0" xfId="0" applyFont="1" applyFill="1" applyBorder="1" applyAlignment="1" applyProtection="1">
      <alignment horizontal="left"/>
      <protection locked="0"/>
    </xf>
    <xf numFmtId="0" fontId="65" fillId="0" borderId="0" xfId="0" applyFont="1" applyFill="1" applyBorder="1" applyAlignment="1" applyProtection="1">
      <alignment horizontal="left"/>
      <protection locked="0"/>
    </xf>
    <xf numFmtId="49" fontId="49" fillId="0" borderId="0" xfId="0" applyNumberFormat="1" applyFont="1" applyFill="1" applyBorder="1" applyAlignment="1" applyProtection="1">
      <alignment horizontal="left"/>
      <protection locked="0"/>
    </xf>
    <xf numFmtId="0" fontId="76" fillId="19" borderId="0" xfId="0" applyFont="1" applyFill="1" applyAlignment="1">
      <alignment horizontal="right"/>
    </xf>
    <xf numFmtId="0" fontId="7" fillId="0" borderId="55" xfId="2" applyFont="1" applyBorder="1" applyAlignment="1" applyProtection="1">
      <alignment horizontal="center"/>
      <protection locked="0"/>
    </xf>
    <xf numFmtId="0" fontId="7" fillId="0" borderId="56" xfId="2" applyFont="1" applyBorder="1" applyAlignment="1" applyProtection="1">
      <alignment horizontal="center"/>
      <protection locked="0"/>
    </xf>
    <xf numFmtId="0" fontId="7" fillId="0" borderId="58" xfId="2" applyFont="1" applyBorder="1" applyAlignment="1" applyProtection="1">
      <alignment horizontal="center"/>
      <protection locked="0"/>
    </xf>
    <xf numFmtId="0" fontId="7" fillId="0" borderId="52" xfId="2" applyFont="1" applyBorder="1" applyAlignment="1" applyProtection="1">
      <alignment horizontal="left"/>
      <protection locked="0"/>
    </xf>
    <xf numFmtId="0" fontId="80" fillId="17" borderId="52" xfId="0" applyFont="1" applyFill="1" applyBorder="1" applyAlignment="1">
      <alignment horizontal="center" vertical="center"/>
    </xf>
    <xf numFmtId="0" fontId="80" fillId="17" borderId="55" xfId="2" applyFont="1" applyFill="1" applyBorder="1" applyAlignment="1" applyProtection="1">
      <alignment horizontal="center" vertical="center" wrapText="1"/>
      <protection locked="0"/>
    </xf>
    <xf numFmtId="0" fontId="80" fillId="17" borderId="56" xfId="2" applyFont="1" applyFill="1" applyBorder="1" applyAlignment="1" applyProtection="1">
      <alignment horizontal="center" vertical="center" wrapText="1"/>
      <protection locked="0"/>
    </xf>
    <xf numFmtId="0" fontId="80" fillId="17" borderId="58" xfId="2" applyFont="1" applyFill="1" applyBorder="1" applyAlignment="1" applyProtection="1">
      <alignment horizontal="center" vertical="center" wrapText="1"/>
      <protection locked="0"/>
    </xf>
    <xf numFmtId="0" fontId="54" fillId="17" borderId="55" xfId="2" applyFont="1" applyFill="1" applyBorder="1" applyAlignment="1" applyProtection="1">
      <alignment horizontal="center" vertical="center"/>
      <protection locked="0"/>
    </xf>
    <xf numFmtId="0" fontId="54" fillId="17" borderId="56" xfId="2" applyFont="1" applyFill="1" applyBorder="1" applyAlignment="1" applyProtection="1">
      <alignment horizontal="center" vertical="center"/>
      <protection locked="0"/>
    </xf>
    <xf numFmtId="0" fontId="54" fillId="17" borderId="58" xfId="2" applyFont="1" applyFill="1" applyBorder="1" applyAlignment="1" applyProtection="1">
      <alignment horizontal="center" vertical="center"/>
      <protection locked="0"/>
    </xf>
    <xf numFmtId="0" fontId="48" fillId="19" borderId="0" xfId="0" applyFont="1" applyFill="1" applyAlignment="1" applyProtection="1">
      <alignment horizontal="center" wrapText="1"/>
      <protection hidden="1"/>
    </xf>
    <xf numFmtId="0" fontId="47" fillId="17" borderId="52" xfId="0" applyFont="1" applyFill="1" applyBorder="1" applyAlignment="1" applyProtection="1">
      <alignment horizontal="center" vertical="center"/>
      <protection hidden="1"/>
    </xf>
    <xf numFmtId="0" fontId="47" fillId="17" borderId="57" xfId="0" applyFont="1" applyFill="1" applyBorder="1" applyAlignment="1" applyProtection="1">
      <alignment horizontal="center" vertical="center"/>
      <protection hidden="1"/>
    </xf>
    <xf numFmtId="0" fontId="47" fillId="17" borderId="53" xfId="0" applyFont="1" applyFill="1" applyBorder="1" applyAlignment="1" applyProtection="1">
      <alignment horizontal="center" vertical="center"/>
      <protection hidden="1"/>
    </xf>
    <xf numFmtId="0" fontId="47" fillId="17" borderId="55" xfId="0" applyFont="1" applyFill="1" applyBorder="1" applyAlignment="1" applyProtection="1">
      <alignment horizontal="center" vertical="center"/>
      <protection hidden="1"/>
    </xf>
    <xf numFmtId="0" fontId="47" fillId="17" borderId="56" xfId="0" applyFont="1" applyFill="1" applyBorder="1" applyAlignment="1" applyProtection="1">
      <alignment horizontal="center" vertical="center"/>
      <protection hidden="1"/>
    </xf>
    <xf numFmtId="0" fontId="47" fillId="17" borderId="58" xfId="0" applyFont="1" applyFill="1" applyBorder="1" applyAlignment="1" applyProtection="1">
      <alignment horizontal="center" vertical="center"/>
      <protection hidden="1"/>
    </xf>
    <xf numFmtId="0" fontId="57" fillId="17" borderId="57" xfId="8" applyFont="1" applyFill="1" applyBorder="1" applyAlignment="1" applyProtection="1">
      <alignment horizontal="center" vertical="center" wrapText="1"/>
      <protection hidden="1"/>
    </xf>
    <xf numFmtId="0" fontId="57" fillId="17" borderId="53" xfId="8" applyFont="1" applyFill="1" applyBorder="1" applyAlignment="1" applyProtection="1">
      <alignment horizontal="center" vertical="center" wrapText="1"/>
      <protection hidden="1"/>
    </xf>
    <xf numFmtId="0" fontId="47" fillId="17" borderId="57" xfId="8" applyFont="1" applyFill="1" applyBorder="1" applyAlignment="1" applyProtection="1">
      <alignment horizontal="center" vertical="center" wrapText="1"/>
      <protection hidden="1"/>
    </xf>
    <xf numFmtId="0" fontId="47" fillId="17" borderId="53" xfId="8" applyFont="1" applyFill="1" applyBorder="1" applyAlignment="1" applyProtection="1">
      <alignment horizontal="center" vertical="center" wrapText="1"/>
      <protection hidden="1"/>
    </xf>
    <xf numFmtId="1" fontId="60" fillId="0" borderId="0" xfId="2" applyNumberFormat="1" applyFont="1" applyFill="1" applyBorder="1" applyAlignment="1" applyProtection="1">
      <alignment horizontal="center" vertical="center"/>
      <protection hidden="1"/>
    </xf>
    <xf numFmtId="0" fontId="60" fillId="0" borderId="0" xfId="2" applyFont="1" applyFill="1" applyBorder="1" applyAlignment="1" applyProtection="1">
      <alignment horizontal="center" vertical="center"/>
      <protection hidden="1"/>
    </xf>
    <xf numFmtId="0" fontId="54" fillId="17" borderId="114" xfId="2" applyFont="1" applyFill="1" applyBorder="1" applyAlignment="1" applyProtection="1">
      <alignment horizontal="center" vertical="center"/>
      <protection locked="0"/>
    </xf>
    <xf numFmtId="0" fontId="54" fillId="17" borderId="115" xfId="2" applyFont="1" applyFill="1" applyBorder="1" applyAlignment="1" applyProtection="1">
      <alignment horizontal="center" vertical="center"/>
      <protection locked="0"/>
    </xf>
    <xf numFmtId="0" fontId="54" fillId="17" borderId="116" xfId="2" applyFont="1" applyFill="1" applyBorder="1" applyAlignment="1" applyProtection="1">
      <alignment horizontal="center" vertical="center"/>
      <protection locked="0"/>
    </xf>
    <xf numFmtId="0" fontId="54" fillId="17" borderId="99" xfId="2" applyFont="1" applyFill="1" applyBorder="1" applyAlignment="1" applyProtection="1">
      <alignment horizontal="center" vertical="center"/>
      <protection locked="0"/>
    </xf>
    <xf numFmtId="0" fontId="54" fillId="17" borderId="101" xfId="2" applyFont="1" applyFill="1" applyBorder="1" applyAlignment="1" applyProtection="1">
      <alignment horizontal="center" vertical="center"/>
      <protection locked="0"/>
    </xf>
    <xf numFmtId="0" fontId="54" fillId="17" borderId="120" xfId="2" applyFont="1" applyFill="1" applyBorder="1" applyAlignment="1" applyProtection="1">
      <alignment horizontal="center" vertical="center"/>
      <protection hidden="1"/>
    </xf>
    <xf numFmtId="0" fontId="54" fillId="17" borderId="112" xfId="2" applyFont="1" applyFill="1" applyBorder="1" applyAlignment="1" applyProtection="1">
      <alignment horizontal="center" vertical="center"/>
      <protection hidden="1"/>
    </xf>
    <xf numFmtId="0" fontId="54" fillId="17" borderId="113" xfId="2" applyFont="1" applyFill="1" applyBorder="1" applyAlignment="1" applyProtection="1">
      <alignment horizontal="center" vertical="center"/>
      <protection hidden="1"/>
    </xf>
    <xf numFmtId="0" fontId="54" fillId="17" borderId="123" xfId="2" applyFont="1" applyFill="1" applyBorder="1" applyAlignment="1" applyProtection="1">
      <alignment horizontal="center" vertical="center"/>
      <protection locked="0"/>
    </xf>
    <xf numFmtId="0" fontId="54" fillId="17" borderId="118" xfId="2" applyFont="1" applyFill="1" applyBorder="1" applyAlignment="1" applyProtection="1">
      <alignment horizontal="center" vertical="center"/>
      <protection locked="0"/>
    </xf>
    <xf numFmtId="0" fontId="54" fillId="17" borderId="95" xfId="2" applyFont="1" applyFill="1" applyBorder="1" applyAlignment="1" applyProtection="1">
      <alignment horizontal="center" vertical="center"/>
      <protection hidden="1"/>
    </xf>
    <xf numFmtId="0" fontId="54" fillId="17" borderId="96" xfId="2" applyFont="1" applyFill="1" applyBorder="1" applyAlignment="1" applyProtection="1">
      <alignment horizontal="center" vertical="center"/>
      <protection hidden="1"/>
    </xf>
    <xf numFmtId="0" fontId="54" fillId="17" borderId="97" xfId="2" applyFont="1" applyFill="1" applyBorder="1" applyAlignment="1" applyProtection="1">
      <alignment horizontal="center" vertical="center"/>
      <protection hidden="1"/>
    </xf>
    <xf numFmtId="0" fontId="54" fillId="0" borderId="0" xfId="2" applyFont="1" applyFill="1" applyBorder="1" applyAlignment="1" applyProtection="1">
      <alignment horizontal="center" vertical="center" wrapText="1"/>
      <protection hidden="1"/>
    </xf>
    <xf numFmtId="0" fontId="43" fillId="17" borderId="34" xfId="0" applyFont="1" applyFill="1" applyBorder="1" applyAlignment="1" applyProtection="1">
      <alignment horizontal="center" vertical="center"/>
      <protection hidden="1"/>
    </xf>
    <xf numFmtId="0" fontId="43" fillId="17" borderId="35" xfId="0" applyFont="1" applyFill="1" applyBorder="1" applyAlignment="1" applyProtection="1">
      <alignment horizontal="center" vertical="center"/>
      <protection hidden="1"/>
    </xf>
    <xf numFmtId="0" fontId="43" fillId="17" borderId="36" xfId="0" applyFont="1" applyFill="1" applyBorder="1" applyAlignment="1" applyProtection="1">
      <alignment horizontal="center" vertical="center"/>
      <protection hidden="1"/>
    </xf>
    <xf numFmtId="0" fontId="40" fillId="0" borderId="81" xfId="0" applyFont="1" applyBorder="1" applyAlignment="1" applyProtection="1">
      <alignment horizontal="center" vertical="center"/>
      <protection hidden="1"/>
    </xf>
    <xf numFmtId="0" fontId="40" fillId="0" borderId="83" xfId="0" applyFont="1" applyBorder="1" applyAlignment="1" applyProtection="1">
      <alignment horizontal="center" vertical="center"/>
      <protection hidden="1"/>
    </xf>
    <xf numFmtId="0" fontId="40" fillId="0" borderId="42" xfId="0" applyFont="1" applyBorder="1" applyAlignment="1" applyProtection="1">
      <alignment horizontal="center" vertical="center"/>
      <protection hidden="1"/>
    </xf>
    <xf numFmtId="0" fontId="40" fillId="0" borderId="49" xfId="0" applyFont="1" applyBorder="1" applyAlignment="1" applyProtection="1">
      <alignment horizontal="center" vertical="center" wrapText="1"/>
      <protection hidden="1"/>
    </xf>
    <xf numFmtId="0" fontId="40" fillId="0" borderId="35" xfId="0" applyFont="1" applyBorder="1" applyAlignment="1" applyProtection="1">
      <alignment horizontal="center" vertical="center" wrapText="1"/>
      <protection hidden="1"/>
    </xf>
    <xf numFmtId="0" fontId="41" fillId="0" borderId="52" xfId="0" applyFont="1" applyBorder="1" applyAlignment="1" applyProtection="1">
      <alignment horizontal="center" vertical="center" wrapText="1"/>
      <protection hidden="1"/>
    </xf>
    <xf numFmtId="0" fontId="43" fillId="17" borderId="51" xfId="0" applyFont="1" applyFill="1" applyBorder="1" applyAlignment="1" applyProtection="1">
      <alignment horizontal="center" vertical="center"/>
      <protection hidden="1"/>
    </xf>
    <xf numFmtId="0" fontId="43" fillId="17" borderId="39" xfId="0" applyFont="1" applyFill="1" applyBorder="1" applyAlignment="1" applyProtection="1">
      <alignment horizontal="center" vertical="center"/>
      <protection hidden="1"/>
    </xf>
    <xf numFmtId="0" fontId="43" fillId="17" borderId="40" xfId="0" applyFont="1" applyFill="1" applyBorder="1" applyAlignment="1" applyProtection="1">
      <alignment horizontal="center" vertical="center"/>
      <protection hidden="1"/>
    </xf>
    <xf numFmtId="0" fontId="41" fillId="2" borderId="44" xfId="0" applyFont="1" applyFill="1" applyBorder="1" applyAlignment="1" applyProtection="1">
      <alignment horizontal="center" vertical="center" wrapText="1"/>
      <protection hidden="1"/>
    </xf>
    <xf numFmtId="0" fontId="41" fillId="2" borderId="45" xfId="0" applyFont="1" applyFill="1" applyBorder="1" applyAlignment="1" applyProtection="1">
      <alignment horizontal="center" vertical="center" wrapText="1"/>
      <protection hidden="1"/>
    </xf>
    <xf numFmtId="0" fontId="41" fillId="2" borderId="46" xfId="0" applyFont="1" applyFill="1" applyBorder="1" applyAlignment="1" applyProtection="1">
      <alignment horizontal="center" vertical="center" wrapText="1"/>
      <protection hidden="1"/>
    </xf>
    <xf numFmtId="0" fontId="43" fillId="17" borderId="26" xfId="0" applyFont="1" applyFill="1" applyBorder="1" applyAlignment="1" applyProtection="1">
      <alignment horizontal="center" vertical="center"/>
      <protection hidden="1"/>
    </xf>
    <xf numFmtId="0" fontId="43" fillId="17" borderId="30" xfId="0" applyFont="1" applyFill="1" applyBorder="1" applyAlignment="1" applyProtection="1">
      <alignment horizontal="center" vertical="center"/>
      <protection hidden="1"/>
    </xf>
    <xf numFmtId="0" fontId="41" fillId="0" borderId="0" xfId="0" applyFont="1" applyBorder="1" applyAlignment="1" applyProtection="1">
      <alignment horizontal="center" vertical="center"/>
      <protection hidden="1"/>
    </xf>
    <xf numFmtId="0" fontId="40" fillId="0" borderId="44" xfId="0" applyFont="1" applyBorder="1" applyAlignment="1" applyProtection="1">
      <alignment horizontal="center" vertical="center" wrapText="1"/>
      <protection hidden="1"/>
    </xf>
    <xf numFmtId="0" fontId="40" fillId="0" borderId="45" xfId="0" applyFont="1" applyBorder="1" applyAlignment="1" applyProtection="1">
      <alignment horizontal="center" vertical="center" wrapText="1"/>
      <protection hidden="1"/>
    </xf>
    <xf numFmtId="0" fontId="37" fillId="0" borderId="49" xfId="0" applyFont="1" applyBorder="1" applyAlignment="1" applyProtection="1">
      <alignment horizontal="center" vertical="center" wrapText="1"/>
      <protection hidden="1"/>
    </xf>
    <xf numFmtId="0" fontId="37" fillId="0" borderId="35" xfId="0" applyFont="1" applyBorder="1" applyAlignment="1" applyProtection="1">
      <alignment horizontal="center" vertical="center" wrapText="1"/>
      <protection hidden="1"/>
    </xf>
    <xf numFmtId="0" fontId="37" fillId="0" borderId="19" xfId="0" applyFont="1" applyBorder="1" applyAlignment="1" applyProtection="1">
      <alignment horizontal="center" vertical="center" wrapText="1"/>
      <protection hidden="1"/>
    </xf>
    <xf numFmtId="0" fontId="37" fillId="0" borderId="49" xfId="0" applyFont="1" applyBorder="1" applyAlignment="1" applyProtection="1">
      <alignment horizontal="center" wrapText="1"/>
      <protection hidden="1"/>
    </xf>
    <xf numFmtId="0" fontId="37" fillId="0" borderId="35" xfId="0" applyFont="1" applyBorder="1" applyAlignment="1" applyProtection="1">
      <alignment horizontal="center" wrapText="1"/>
      <protection hidden="1"/>
    </xf>
    <xf numFmtId="0" fontId="37" fillId="0" borderId="19" xfId="0" applyFont="1" applyBorder="1" applyAlignment="1" applyProtection="1">
      <alignment horizontal="center" wrapText="1"/>
      <protection hidden="1"/>
    </xf>
    <xf numFmtId="0" fontId="37" fillId="0" borderId="22" xfId="0" applyFont="1" applyBorder="1" applyAlignment="1" applyProtection="1">
      <alignment horizontal="center" wrapText="1"/>
      <protection hidden="1"/>
    </xf>
    <xf numFmtId="0" fontId="37" fillId="0" borderId="23" xfId="0" applyFont="1" applyBorder="1" applyAlignment="1" applyProtection="1">
      <alignment horizontal="center" wrapText="1"/>
      <protection hidden="1"/>
    </xf>
    <xf numFmtId="0" fontId="37" fillId="0" borderId="26" xfId="0" applyFont="1" applyBorder="1" applyAlignment="1" applyProtection="1">
      <alignment horizontal="center" wrapText="1"/>
      <protection hidden="1"/>
    </xf>
    <xf numFmtId="0" fontId="37" fillId="0" borderId="3" xfId="0" applyFont="1" applyBorder="1" applyAlignment="1" applyProtection="1">
      <alignment horizontal="center" wrapText="1"/>
      <protection hidden="1"/>
    </xf>
    <xf numFmtId="0" fontId="39" fillId="17" borderId="52" xfId="0" applyFont="1" applyFill="1" applyBorder="1" applyAlignment="1" applyProtection="1">
      <alignment horizontal="center" vertical="center"/>
      <protection hidden="1"/>
    </xf>
    <xf numFmtId="0" fontId="39" fillId="17" borderId="52" xfId="0" applyFont="1" applyFill="1" applyBorder="1" applyAlignment="1" applyProtection="1">
      <alignment horizontal="center" vertical="center" wrapText="1"/>
      <protection hidden="1"/>
    </xf>
    <xf numFmtId="0" fontId="42" fillId="0" borderId="49" xfId="0" applyFont="1" applyBorder="1" applyAlignment="1" applyProtection="1">
      <alignment horizontal="center" vertical="center"/>
      <protection hidden="1"/>
    </xf>
    <xf numFmtId="0" fontId="42" fillId="0" borderId="35" xfId="0" applyFont="1" applyBorder="1" applyAlignment="1" applyProtection="1">
      <alignment horizontal="center" vertical="center"/>
      <protection hidden="1"/>
    </xf>
    <xf numFmtId="0" fontId="42" fillId="0" borderId="19" xfId="0" applyFont="1" applyBorder="1" applyAlignment="1" applyProtection="1">
      <alignment horizontal="center" vertical="center"/>
      <protection hidden="1"/>
    </xf>
    <xf numFmtId="0" fontId="42" fillId="0" borderId="50" xfId="0" applyFont="1" applyBorder="1" applyAlignment="1" applyProtection="1">
      <alignment horizontal="center" vertical="center"/>
      <protection hidden="1"/>
    </xf>
    <xf numFmtId="0" fontId="42" fillId="0" borderId="39" xfId="0" applyFont="1" applyBorder="1" applyAlignment="1" applyProtection="1">
      <alignment horizontal="center" vertical="center"/>
      <protection hidden="1"/>
    </xf>
    <xf numFmtId="0" fontId="42" fillId="0" borderId="41" xfId="0" applyFont="1" applyBorder="1" applyAlignment="1" applyProtection="1">
      <alignment horizontal="center" vertical="center"/>
      <protection hidden="1"/>
    </xf>
    <xf numFmtId="2" fontId="40" fillId="6" borderId="9" xfId="0" applyNumberFormat="1" applyFont="1" applyFill="1" applyBorder="1" applyAlignment="1" applyProtection="1">
      <alignment horizontal="center" vertical="center" wrapText="1"/>
      <protection hidden="1"/>
    </xf>
    <xf numFmtId="2" fontId="40" fillId="6" borderId="10" xfId="0" applyNumberFormat="1" applyFont="1" applyFill="1" applyBorder="1" applyAlignment="1" applyProtection="1">
      <alignment horizontal="center" vertical="center" wrapText="1"/>
      <protection hidden="1"/>
    </xf>
    <xf numFmtId="2" fontId="40" fillId="6" borderId="18" xfId="0" applyNumberFormat="1" applyFont="1" applyFill="1" applyBorder="1" applyAlignment="1" applyProtection="1">
      <alignment horizontal="center" vertical="center" wrapText="1"/>
      <protection hidden="1"/>
    </xf>
    <xf numFmtId="2" fontId="40" fillId="6" borderId="17" xfId="0" applyNumberFormat="1" applyFont="1" applyFill="1" applyBorder="1" applyAlignment="1" applyProtection="1">
      <alignment horizontal="center" vertical="center" wrapText="1"/>
      <protection hidden="1"/>
    </xf>
    <xf numFmtId="2" fontId="40" fillId="6" borderId="42" xfId="0" applyNumberFormat="1" applyFont="1" applyFill="1" applyBorder="1" applyAlignment="1" applyProtection="1">
      <alignment horizontal="center" vertical="center" wrapText="1"/>
      <protection hidden="1"/>
    </xf>
    <xf numFmtId="2" fontId="40" fillId="6" borderId="43" xfId="0" applyNumberFormat="1" applyFont="1" applyFill="1" applyBorder="1" applyAlignment="1" applyProtection="1">
      <alignment horizontal="center" vertical="center" wrapText="1"/>
      <protection hidden="1"/>
    </xf>
    <xf numFmtId="0" fontId="42" fillId="5" borderId="9" xfId="0" applyFont="1" applyFill="1" applyBorder="1" applyAlignment="1" applyProtection="1">
      <alignment horizontal="center" vertical="center" wrapText="1"/>
      <protection hidden="1"/>
    </xf>
    <xf numFmtId="0" fontId="42" fillId="5" borderId="4" xfId="0" applyFont="1" applyFill="1" applyBorder="1" applyAlignment="1" applyProtection="1">
      <alignment horizontal="center" vertical="center" wrapText="1"/>
      <protection hidden="1"/>
    </xf>
    <xf numFmtId="0" fontId="42" fillId="5" borderId="18" xfId="0" applyFont="1" applyFill="1" applyBorder="1" applyAlignment="1" applyProtection="1">
      <alignment horizontal="center" vertical="center" wrapText="1"/>
      <protection hidden="1"/>
    </xf>
    <xf numFmtId="0" fontId="42" fillId="5" borderId="20" xfId="0" applyFont="1" applyFill="1" applyBorder="1" applyAlignment="1" applyProtection="1">
      <alignment horizontal="center" vertical="center" wrapText="1"/>
      <protection hidden="1"/>
    </xf>
    <xf numFmtId="0" fontId="42" fillId="5" borderId="42" xfId="0" applyFont="1" applyFill="1" applyBorder="1" applyAlignment="1" applyProtection="1">
      <alignment horizontal="center" vertical="center" wrapText="1"/>
      <protection hidden="1"/>
    </xf>
    <xf numFmtId="0" fontId="42" fillId="5" borderId="38" xfId="0" applyFont="1" applyFill="1" applyBorder="1" applyAlignment="1" applyProtection="1">
      <alignment horizontal="center" vertical="center" wrapText="1"/>
      <protection hidden="1"/>
    </xf>
    <xf numFmtId="0" fontId="40" fillId="0" borderId="50" xfId="0" applyFont="1" applyBorder="1" applyAlignment="1" applyProtection="1">
      <alignment horizontal="center" vertical="center"/>
      <protection hidden="1"/>
    </xf>
    <xf numFmtId="0" fontId="40" fillId="0" borderId="39" xfId="0" applyFont="1" applyBorder="1" applyAlignment="1" applyProtection="1">
      <alignment horizontal="center" vertical="center"/>
      <protection hidden="1"/>
    </xf>
    <xf numFmtId="0" fontId="40" fillId="0" borderId="40" xfId="0" applyFont="1" applyBorder="1" applyAlignment="1" applyProtection="1">
      <alignment horizontal="center" vertical="center"/>
      <protection hidden="1"/>
    </xf>
    <xf numFmtId="0" fontId="39" fillId="17" borderId="47" xfId="0" applyFont="1" applyFill="1" applyBorder="1" applyAlignment="1" applyProtection="1">
      <alignment horizontal="center" vertical="center" wrapText="1"/>
      <protection hidden="1"/>
    </xf>
    <xf numFmtId="0" fontId="39" fillId="17" borderId="45" xfId="0" applyFont="1" applyFill="1" applyBorder="1" applyAlignment="1" applyProtection="1">
      <alignment horizontal="center" vertical="center" wrapText="1"/>
      <protection hidden="1"/>
    </xf>
    <xf numFmtId="0" fontId="39" fillId="17" borderId="48" xfId="0" applyFont="1" applyFill="1" applyBorder="1" applyAlignment="1" applyProtection="1">
      <alignment horizontal="center" vertical="center" wrapText="1"/>
      <protection hidden="1"/>
    </xf>
    <xf numFmtId="0" fontId="40" fillId="0" borderId="49" xfId="0" applyFont="1" applyBorder="1" applyAlignment="1" applyProtection="1">
      <alignment horizontal="center" vertical="center"/>
      <protection hidden="1"/>
    </xf>
    <xf numFmtId="0" fontId="40" fillId="0" borderId="35" xfId="0" applyFont="1" applyBorder="1" applyAlignment="1" applyProtection="1">
      <alignment horizontal="center" vertical="center"/>
      <protection hidden="1"/>
    </xf>
    <xf numFmtId="0" fontId="41" fillId="2" borderId="48" xfId="0" applyFont="1" applyFill="1" applyBorder="1" applyAlignment="1" applyProtection="1">
      <alignment horizontal="center" vertical="center" wrapText="1"/>
      <protection hidden="1"/>
    </xf>
    <xf numFmtId="0" fontId="37" fillId="0" borderId="50" xfId="0" applyFont="1" applyBorder="1" applyAlignment="1" applyProtection="1">
      <alignment horizontal="center" wrapText="1"/>
      <protection hidden="1"/>
    </xf>
    <xf numFmtId="0" fontId="37" fillId="0" borderId="41" xfId="0" applyFont="1" applyBorder="1" applyAlignment="1" applyProtection="1">
      <alignment horizontal="center" wrapText="1"/>
      <protection hidden="1"/>
    </xf>
    <xf numFmtId="0" fontId="35" fillId="2" borderId="0" xfId="2" applyFont="1" applyFill="1" applyAlignment="1" applyProtection="1">
      <alignment horizontal="left" vertical="center" wrapText="1"/>
      <protection hidden="1"/>
    </xf>
    <xf numFmtId="0" fontId="13" fillId="2" borderId="0" xfId="0" applyFont="1" applyFill="1" applyBorder="1" applyAlignment="1" applyProtection="1">
      <alignment horizontal="left" vertical="center"/>
      <protection hidden="1"/>
    </xf>
    <xf numFmtId="0" fontId="10" fillId="2" borderId="0" xfId="2" applyFont="1" applyFill="1" applyBorder="1" applyAlignment="1" applyProtection="1">
      <alignment horizontal="left" vertical="center" wrapText="1"/>
      <protection hidden="1"/>
    </xf>
    <xf numFmtId="0" fontId="4" fillId="2" borderId="0" xfId="2" applyFont="1" applyFill="1" applyAlignment="1" applyProtection="1">
      <alignment horizontal="center" vertical="center" wrapText="1"/>
      <protection hidden="1"/>
    </xf>
    <xf numFmtId="0" fontId="34" fillId="2" borderId="0" xfId="2" applyFont="1" applyFill="1" applyAlignment="1" applyProtection="1">
      <alignment horizontal="left" vertical="center" wrapText="1"/>
      <protection hidden="1"/>
    </xf>
    <xf numFmtId="0" fontId="32" fillId="0" borderId="23" xfId="0" applyFont="1" applyBorder="1" applyAlignment="1" applyProtection="1">
      <alignment horizontal="left" wrapText="1"/>
      <protection hidden="1"/>
    </xf>
    <xf numFmtId="0" fontId="32" fillId="0" borderId="24" xfId="0" applyFont="1" applyBorder="1" applyAlignment="1" applyProtection="1">
      <alignment horizontal="left" wrapText="1"/>
      <protection hidden="1"/>
    </xf>
    <xf numFmtId="0" fontId="32" fillId="0" borderId="51" xfId="0" applyFont="1" applyBorder="1" applyAlignment="1" applyProtection="1">
      <alignment horizontal="left" wrapText="1"/>
      <protection hidden="1"/>
    </xf>
    <xf numFmtId="0" fontId="32" fillId="0" borderId="39" xfId="0" applyFont="1" applyBorder="1" applyAlignment="1" applyProtection="1">
      <alignment horizontal="left" wrapText="1"/>
      <protection hidden="1"/>
    </xf>
    <xf numFmtId="0" fontId="32" fillId="0" borderId="40" xfId="0" applyFont="1" applyBorder="1" applyAlignment="1" applyProtection="1">
      <alignment horizontal="left" wrapText="1"/>
      <protection hidden="1"/>
    </xf>
    <xf numFmtId="0" fontId="32" fillId="0" borderId="88" xfId="0" applyFont="1" applyBorder="1" applyAlignment="1" applyProtection="1">
      <alignment horizontal="left" wrapText="1"/>
      <protection hidden="1"/>
    </xf>
    <xf numFmtId="0" fontId="32" fillId="0" borderId="89" xfId="0" applyFont="1" applyBorder="1" applyAlignment="1" applyProtection="1">
      <alignment horizontal="left" wrapText="1"/>
      <protection hidden="1"/>
    </xf>
    <xf numFmtId="0" fontId="32" fillId="0" borderId="91" xfId="0" applyFont="1" applyBorder="1" applyAlignment="1" applyProtection="1">
      <alignment horizontal="left" wrapText="1"/>
      <protection hidden="1"/>
    </xf>
    <xf numFmtId="0" fontId="4" fillId="2" borderId="0" xfId="2" applyFont="1" applyFill="1" applyAlignment="1" applyProtection="1">
      <alignment horizontal="center" wrapText="1"/>
      <protection hidden="1"/>
    </xf>
    <xf numFmtId="0" fontId="32" fillId="0" borderId="87" xfId="0" applyFont="1" applyBorder="1" applyAlignment="1" applyProtection="1">
      <alignment horizontal="left" wrapText="1"/>
      <protection hidden="1"/>
    </xf>
    <xf numFmtId="0" fontId="32" fillId="0" borderId="90" xfId="0" applyFont="1" applyBorder="1" applyAlignment="1" applyProtection="1">
      <alignment horizontal="left" wrapText="1"/>
      <protection hidden="1"/>
    </xf>
    <xf numFmtId="0" fontId="32" fillId="0" borderId="15" xfId="0" applyFont="1" applyBorder="1" applyAlignment="1" applyProtection="1">
      <alignment horizontal="left" wrapText="1"/>
      <protection hidden="1"/>
    </xf>
    <xf numFmtId="0" fontId="32" fillId="0" borderId="16" xfId="0" applyFont="1" applyBorder="1" applyAlignment="1" applyProtection="1">
      <alignment horizontal="left" wrapText="1"/>
      <protection hidden="1"/>
    </xf>
    <xf numFmtId="0" fontId="32" fillId="0" borderId="85" xfId="0" applyFont="1" applyBorder="1" applyAlignment="1" applyProtection="1">
      <alignment horizontal="left" wrapText="1"/>
      <protection hidden="1"/>
    </xf>
    <xf numFmtId="0" fontId="32" fillId="0" borderId="21" xfId="0" applyFont="1" applyBorder="1" applyAlignment="1" applyProtection="1">
      <alignment horizontal="left" wrapText="1"/>
      <protection hidden="1"/>
    </xf>
    <xf numFmtId="0" fontId="32" fillId="0" borderId="9" xfId="0" applyFont="1" applyBorder="1" applyAlignment="1" applyProtection="1">
      <alignment horizontal="left" wrapText="1"/>
      <protection hidden="1"/>
    </xf>
    <xf numFmtId="0" fontId="32" fillId="0" borderId="2" xfId="0" applyFont="1" applyBorder="1" applyAlignment="1" applyProtection="1">
      <alignment horizontal="left" wrapText="1"/>
      <protection hidden="1"/>
    </xf>
    <xf numFmtId="0" fontId="32" fillId="0" borderId="4" xfId="0" applyFont="1" applyBorder="1" applyAlignment="1" applyProtection="1">
      <alignment horizontal="left" wrapText="1"/>
      <protection hidden="1"/>
    </xf>
    <xf numFmtId="0" fontId="8" fillId="10" borderId="27" xfId="2" applyFont="1" applyFill="1" applyBorder="1" applyAlignment="1" applyProtection="1">
      <alignment horizontal="center" vertical="center" wrapText="1"/>
      <protection hidden="1"/>
    </xf>
    <xf numFmtId="0" fontId="8" fillId="10" borderId="28" xfId="2" applyFont="1" applyFill="1" applyBorder="1" applyAlignment="1" applyProtection="1">
      <alignment horizontal="center" vertical="center" wrapText="1"/>
      <protection hidden="1"/>
    </xf>
    <xf numFmtId="0" fontId="8" fillId="10" borderId="29" xfId="2" applyFont="1" applyFill="1" applyBorder="1" applyAlignment="1" applyProtection="1">
      <alignment horizontal="center" vertical="center" wrapText="1"/>
      <protection hidden="1"/>
    </xf>
    <xf numFmtId="0" fontId="8" fillId="10" borderId="93" xfId="2" applyFont="1" applyFill="1" applyBorder="1" applyAlignment="1" applyProtection="1">
      <alignment horizontal="center"/>
      <protection hidden="1"/>
    </xf>
    <xf numFmtId="0" fontId="8" fillId="10" borderId="94" xfId="2" applyFont="1" applyFill="1" applyBorder="1" applyAlignment="1" applyProtection="1">
      <alignment horizontal="center"/>
      <protection hidden="1"/>
    </xf>
    <xf numFmtId="0" fontId="32" fillId="0" borderId="12" xfId="0" applyFont="1" applyBorder="1" applyAlignment="1" applyProtection="1">
      <alignment horizontal="left" wrapText="1"/>
      <protection hidden="1"/>
    </xf>
    <xf numFmtId="0" fontId="32" fillId="0" borderId="13" xfId="0" applyFont="1" applyBorder="1" applyAlignment="1" applyProtection="1">
      <alignment horizontal="left" wrapText="1"/>
      <protection hidden="1"/>
    </xf>
    <xf numFmtId="0" fontId="4" fillId="0" borderId="0" xfId="2" applyFont="1" applyFill="1" applyAlignment="1" applyProtection="1">
      <alignment horizontal="center" vertical="center" wrapText="1"/>
      <protection hidden="1"/>
    </xf>
    <xf numFmtId="0" fontId="8" fillId="5" borderId="27" xfId="2" applyFont="1" applyFill="1" applyBorder="1" applyAlignment="1" applyProtection="1">
      <alignment horizontal="center"/>
      <protection hidden="1"/>
    </xf>
    <xf numFmtId="0" fontId="8" fillId="5" borderId="28" xfId="2" applyFont="1" applyFill="1" applyBorder="1" applyAlignment="1" applyProtection="1">
      <alignment horizontal="center"/>
      <protection hidden="1"/>
    </xf>
    <xf numFmtId="0" fontId="8" fillId="5" borderId="29" xfId="2" applyFont="1" applyFill="1" applyBorder="1" applyAlignment="1" applyProtection="1">
      <alignment horizontal="center"/>
      <protection hidden="1"/>
    </xf>
    <xf numFmtId="0" fontId="8" fillId="0" borderId="0" xfId="2" applyFont="1" applyFill="1" applyBorder="1" applyAlignment="1" applyProtection="1">
      <alignment horizontal="center"/>
      <protection hidden="1"/>
    </xf>
    <xf numFmtId="0" fontId="4" fillId="13" borderId="0" xfId="2" applyFont="1" applyFill="1" applyAlignment="1" applyProtection="1">
      <alignment horizontal="center" vertical="center" wrapText="1"/>
      <protection hidden="1"/>
    </xf>
    <xf numFmtId="0" fontId="4" fillId="14" borderId="0" xfId="2" applyFont="1" applyFill="1" applyAlignment="1" applyProtection="1">
      <alignment horizontal="center" vertical="center" wrapText="1"/>
      <protection hidden="1"/>
    </xf>
    <xf numFmtId="0" fontId="4" fillId="12" borderId="0" xfId="2" applyFont="1" applyFill="1" applyAlignment="1" applyProtection="1">
      <alignment horizontal="center" vertical="center" wrapText="1"/>
      <protection hidden="1"/>
    </xf>
    <xf numFmtId="0" fontId="4" fillId="11" borderId="0" xfId="2" applyFont="1" applyFill="1" applyAlignment="1" applyProtection="1">
      <alignment horizontal="center" vertical="center" wrapText="1"/>
      <protection hidden="1"/>
    </xf>
    <xf numFmtId="0" fontId="0" fillId="6" borderId="0" xfId="0" applyFont="1" applyFill="1" applyAlignment="1" applyProtection="1">
      <alignment horizontal="center" vertical="center" wrapText="1"/>
      <protection hidden="1"/>
    </xf>
    <xf numFmtId="0" fontId="0" fillId="15" borderId="0" xfId="0" applyFont="1" applyFill="1" applyAlignment="1" applyProtection="1">
      <alignment horizontal="center" vertical="center" wrapText="1"/>
      <protection hidden="1"/>
    </xf>
    <xf numFmtId="0" fontId="16" fillId="0" borderId="1" xfId="0" applyFont="1" applyBorder="1" applyAlignment="1" applyProtection="1">
      <alignment horizontal="center" vertical="center"/>
      <protection hidden="1"/>
    </xf>
    <xf numFmtId="0" fontId="16" fillId="0" borderId="2" xfId="0" applyFont="1" applyBorder="1" applyAlignment="1" applyProtection="1">
      <alignment horizontal="center" vertical="center"/>
      <protection hidden="1"/>
    </xf>
    <xf numFmtId="0" fontId="16" fillId="0" borderId="4" xfId="0" applyFont="1" applyBorder="1" applyAlignment="1" applyProtection="1">
      <alignment horizontal="center" vertical="center"/>
      <protection hidden="1"/>
    </xf>
    <xf numFmtId="0" fontId="19" fillId="0" borderId="44" xfId="0" applyFont="1" applyBorder="1" applyAlignment="1" applyProtection="1">
      <alignment horizontal="center" vertical="center"/>
      <protection hidden="1"/>
    </xf>
    <xf numFmtId="0" fontId="19" fillId="0" borderId="49" xfId="0" applyFont="1" applyBorder="1" applyAlignment="1" applyProtection="1">
      <alignment horizontal="center" vertical="center"/>
      <protection hidden="1"/>
    </xf>
    <xf numFmtId="0" fontId="19" fillId="0" borderId="84" xfId="0" applyFont="1" applyBorder="1" applyAlignment="1" applyProtection="1">
      <alignment horizontal="center" vertical="center"/>
      <protection hidden="1"/>
    </xf>
    <xf numFmtId="0" fontId="20" fillId="0" borderId="1" xfId="0" applyFont="1" applyBorder="1" applyAlignment="1" applyProtection="1">
      <alignment horizontal="center" vertical="center" wrapText="1"/>
      <protection hidden="1"/>
    </xf>
    <xf numFmtId="0" fontId="20" fillId="0" borderId="2" xfId="0" applyFont="1" applyBorder="1" applyAlignment="1" applyProtection="1">
      <alignment horizontal="center" vertical="center" wrapText="1"/>
      <protection hidden="1"/>
    </xf>
    <xf numFmtId="0" fontId="20" fillId="0" borderId="4" xfId="0" applyFont="1" applyBorder="1" applyAlignment="1" applyProtection="1">
      <alignment horizontal="center" vertical="center" wrapText="1"/>
      <protection hidden="1"/>
    </xf>
    <xf numFmtId="0" fontId="20" fillId="0" borderId="72" xfId="0" applyFont="1" applyBorder="1" applyAlignment="1" applyProtection="1">
      <alignment horizontal="center" vertical="center" wrapText="1"/>
      <protection hidden="1"/>
    </xf>
    <xf numFmtId="0" fontId="20" fillId="0" borderId="0" xfId="0" applyFont="1" applyBorder="1" applyAlignment="1" applyProtection="1">
      <alignment horizontal="center" vertical="center" wrapText="1"/>
      <protection hidden="1"/>
    </xf>
    <xf numFmtId="0" fontId="20" fillId="0" borderId="20" xfId="0" applyFont="1" applyBorder="1" applyAlignment="1" applyProtection="1">
      <alignment horizontal="center" vertical="center" wrapText="1"/>
      <protection hidden="1"/>
    </xf>
    <xf numFmtId="0" fontId="21" fillId="0" borderId="2" xfId="0" applyFont="1" applyBorder="1" applyAlignment="1" applyProtection="1">
      <alignment horizontal="center" vertical="center"/>
      <protection hidden="1"/>
    </xf>
    <xf numFmtId="0" fontId="21" fillId="0" borderId="4" xfId="0" applyFont="1" applyBorder="1" applyAlignment="1" applyProtection="1">
      <alignment horizontal="center" vertical="center"/>
      <protection hidden="1"/>
    </xf>
    <xf numFmtId="0" fontId="21" fillId="0" borderId="10" xfId="0" applyFont="1" applyBorder="1" applyAlignment="1" applyProtection="1">
      <alignment horizontal="center" vertical="center"/>
      <protection hidden="1"/>
    </xf>
    <xf numFmtId="0" fontId="21" fillId="0" borderId="7" xfId="0" applyFont="1" applyBorder="1" applyAlignment="1" applyProtection="1">
      <alignment horizontal="center" vertical="center"/>
      <protection hidden="1"/>
    </xf>
    <xf numFmtId="0" fontId="21" fillId="0" borderId="8" xfId="0" applyFont="1" applyBorder="1" applyAlignment="1" applyProtection="1">
      <alignment horizontal="center" vertical="center"/>
      <protection hidden="1"/>
    </xf>
    <xf numFmtId="0" fontId="21" fillId="0" borderId="9" xfId="0" applyFont="1" applyBorder="1" applyAlignment="1" applyProtection="1">
      <alignment horizontal="center" vertical="center"/>
      <protection hidden="1"/>
    </xf>
    <xf numFmtId="0" fontId="21" fillId="0" borderId="6" xfId="0" applyFont="1" applyBorder="1" applyAlignment="1" applyProtection="1">
      <alignment horizontal="center" vertical="center"/>
      <protection hidden="1"/>
    </xf>
    <xf numFmtId="0" fontId="19" fillId="2" borderId="45" xfId="0" applyFont="1" applyFill="1" applyBorder="1" applyAlignment="1" applyProtection="1">
      <alignment horizontal="center" vertical="center" wrapText="1"/>
      <protection hidden="1"/>
    </xf>
    <xf numFmtId="0" fontId="19" fillId="2" borderId="79" xfId="0" applyFont="1" applyFill="1" applyBorder="1" applyAlignment="1" applyProtection="1">
      <alignment horizontal="center" vertical="center" wrapText="1"/>
      <protection hidden="1"/>
    </xf>
    <xf numFmtId="0" fontId="21" fillId="0" borderId="10" xfId="0" applyFont="1" applyBorder="1" applyAlignment="1" applyProtection="1">
      <alignment horizontal="center" vertical="center" wrapText="1"/>
      <protection hidden="1"/>
    </xf>
    <xf numFmtId="0" fontId="21" fillId="0" borderId="8" xfId="0" applyFont="1" applyBorder="1" applyAlignment="1" applyProtection="1">
      <alignment horizontal="center" vertical="center" wrapText="1"/>
      <protection hidden="1"/>
    </xf>
    <xf numFmtId="0" fontId="19" fillId="0" borderId="80" xfId="0" applyFont="1" applyBorder="1" applyAlignment="1" applyProtection="1">
      <alignment horizontal="center" vertical="center" wrapText="1"/>
      <protection hidden="1"/>
    </xf>
    <xf numFmtId="0" fontId="19" fillId="0" borderId="33" xfId="0" applyFont="1" applyBorder="1" applyAlignment="1" applyProtection="1">
      <alignment horizontal="center" vertical="center" wrapText="1"/>
      <protection hidden="1"/>
    </xf>
    <xf numFmtId="0" fontId="19" fillId="0" borderId="75" xfId="0" applyFont="1" applyBorder="1" applyAlignment="1" applyProtection="1">
      <alignment horizontal="center" vertical="center" wrapText="1"/>
      <protection hidden="1"/>
    </xf>
    <xf numFmtId="0" fontId="23" fillId="4" borderId="26" xfId="0" applyFont="1" applyFill="1" applyBorder="1" applyAlignment="1" applyProtection="1">
      <alignment horizontal="center" vertical="center"/>
      <protection hidden="1"/>
    </xf>
    <xf numFmtId="0" fontId="23" fillId="4" borderId="30" xfId="0" applyFont="1" applyFill="1" applyBorder="1" applyAlignment="1" applyProtection="1">
      <alignment horizontal="center" vertical="center"/>
      <protection hidden="1"/>
    </xf>
    <xf numFmtId="0" fontId="19" fillId="0" borderId="0" xfId="0" applyFont="1" applyBorder="1" applyAlignment="1" applyProtection="1">
      <alignment horizontal="center" vertical="center"/>
      <protection hidden="1"/>
    </xf>
    <xf numFmtId="0" fontId="22" fillId="0" borderId="7" xfId="0" applyFont="1" applyBorder="1" applyAlignment="1" applyProtection="1">
      <alignment horizontal="center" vertical="center" wrapText="1"/>
      <protection hidden="1"/>
    </xf>
    <xf numFmtId="2" fontId="24" fillId="6" borderId="1" xfId="0" applyNumberFormat="1" applyFont="1" applyFill="1" applyBorder="1" applyAlignment="1" applyProtection="1">
      <alignment horizontal="center" vertical="center" wrapText="1"/>
      <protection hidden="1"/>
    </xf>
    <xf numFmtId="2" fontId="24" fillId="6" borderId="10" xfId="0" applyNumberFormat="1" applyFont="1" applyFill="1" applyBorder="1" applyAlignment="1" applyProtection="1">
      <alignment horizontal="center" vertical="center" wrapText="1"/>
      <protection hidden="1"/>
    </xf>
    <xf numFmtId="2" fontId="24" fillId="6" borderId="72" xfId="0" applyNumberFormat="1" applyFont="1" applyFill="1" applyBorder="1" applyAlignment="1" applyProtection="1">
      <alignment horizontal="center" vertical="center" wrapText="1"/>
      <protection hidden="1"/>
    </xf>
    <xf numFmtId="2" fontId="24" fillId="6" borderId="17" xfId="0" applyNumberFormat="1" applyFont="1" applyFill="1" applyBorder="1" applyAlignment="1" applyProtection="1">
      <alignment horizontal="center" vertical="center" wrapText="1"/>
      <protection hidden="1"/>
    </xf>
    <xf numFmtId="2" fontId="24" fillId="6" borderId="73" xfId="0" applyNumberFormat="1" applyFont="1" applyFill="1" applyBorder="1" applyAlignment="1" applyProtection="1">
      <alignment horizontal="center" vertical="center" wrapText="1"/>
      <protection hidden="1"/>
    </xf>
    <xf numFmtId="2" fontId="24" fillId="6" borderId="43" xfId="0" applyNumberFormat="1" applyFont="1" applyFill="1" applyBorder="1" applyAlignment="1" applyProtection="1">
      <alignment horizontal="center" vertical="center" wrapText="1"/>
      <protection hidden="1"/>
    </xf>
    <xf numFmtId="0" fontId="25" fillId="5" borderId="9" xfId="0" applyFont="1" applyFill="1" applyBorder="1" applyAlignment="1" applyProtection="1">
      <alignment horizontal="center" vertical="center" wrapText="1"/>
      <protection hidden="1"/>
    </xf>
    <xf numFmtId="0" fontId="25" fillId="5" borderId="4" xfId="0" applyFont="1" applyFill="1" applyBorder="1" applyAlignment="1" applyProtection="1">
      <alignment horizontal="center" vertical="center" wrapText="1"/>
      <protection hidden="1"/>
    </xf>
    <xf numFmtId="0" fontId="25" fillId="5" borderId="18" xfId="0" applyFont="1" applyFill="1" applyBorder="1" applyAlignment="1" applyProtection="1">
      <alignment horizontal="center" vertical="center" wrapText="1"/>
      <protection hidden="1"/>
    </xf>
    <xf numFmtId="0" fontId="25" fillId="5" borderId="20" xfId="0" applyFont="1" applyFill="1" applyBorder="1" applyAlignment="1" applyProtection="1">
      <alignment horizontal="center" vertical="center" wrapText="1"/>
      <protection hidden="1"/>
    </xf>
    <xf numFmtId="0" fontId="25" fillId="5" borderId="42" xfId="0" applyFont="1" applyFill="1" applyBorder="1" applyAlignment="1" applyProtection="1">
      <alignment horizontal="center" vertical="center" wrapText="1"/>
      <protection hidden="1"/>
    </xf>
    <xf numFmtId="0" fontId="25" fillId="5" borderId="38" xfId="0" applyFont="1" applyFill="1" applyBorder="1" applyAlignment="1" applyProtection="1">
      <alignment horizontal="center" vertical="center" wrapText="1"/>
      <protection hidden="1"/>
    </xf>
    <xf numFmtId="0" fontId="17" fillId="0" borderId="15" xfId="0" applyFont="1" applyBorder="1" applyAlignment="1" applyProtection="1">
      <alignment horizontal="center" vertical="center"/>
      <protection hidden="1"/>
    </xf>
    <xf numFmtId="0" fontId="17" fillId="0" borderId="34" xfId="0" applyFont="1" applyBorder="1" applyAlignment="1" applyProtection="1">
      <alignment horizontal="center" vertical="center"/>
      <protection hidden="1"/>
    </xf>
    <xf numFmtId="0" fontId="22" fillId="0" borderId="42" xfId="0" applyFont="1" applyBorder="1" applyAlignment="1" applyProtection="1">
      <alignment horizontal="center" vertical="center"/>
      <protection hidden="1"/>
    </xf>
    <xf numFmtId="0" fontId="22" fillId="0" borderId="82" xfId="0" applyFont="1" applyBorder="1" applyAlignment="1" applyProtection="1">
      <alignment horizontal="center" vertical="center"/>
      <protection hidden="1"/>
    </xf>
    <xf numFmtId="0" fontId="22" fillId="0" borderId="38" xfId="0" applyFont="1" applyBorder="1" applyAlignment="1" applyProtection="1">
      <alignment horizontal="center" vertical="center"/>
      <protection hidden="1"/>
    </xf>
    <xf numFmtId="0" fontId="33" fillId="2" borderId="0" xfId="0" applyFont="1" applyFill="1" applyAlignment="1" applyProtection="1">
      <alignment horizontal="center" vertical="center" wrapText="1"/>
      <protection hidden="1"/>
    </xf>
    <xf numFmtId="0" fontId="17" fillId="0" borderId="83" xfId="0" applyFont="1" applyBorder="1" applyAlignment="1" applyProtection="1">
      <alignment horizontal="center" vertical="center"/>
      <protection hidden="1"/>
    </xf>
    <xf numFmtId="0" fontId="19" fillId="0" borderId="44" xfId="0" applyFont="1" applyBorder="1" applyAlignment="1" applyProtection="1">
      <alignment horizontal="center" vertical="center" wrapText="1"/>
      <protection hidden="1"/>
    </xf>
    <xf numFmtId="0" fontId="19" fillId="0" borderId="45" xfId="0" applyFont="1" applyBorder="1" applyAlignment="1" applyProtection="1">
      <alignment horizontal="center" vertical="center" wrapText="1"/>
      <protection hidden="1"/>
    </xf>
    <xf numFmtId="0" fontId="19" fillId="0" borderId="46" xfId="0" applyFont="1" applyBorder="1" applyAlignment="1" applyProtection="1">
      <alignment horizontal="center" vertical="center" wrapText="1"/>
      <protection hidden="1"/>
    </xf>
    <xf numFmtId="0" fontId="19" fillId="7" borderId="47" xfId="0" applyFont="1" applyFill="1" applyBorder="1" applyAlignment="1" applyProtection="1">
      <alignment horizontal="center" vertical="center" wrapText="1"/>
      <protection hidden="1"/>
    </xf>
    <xf numFmtId="0" fontId="19" fillId="7" borderId="45" xfId="0" applyFont="1" applyFill="1" applyBorder="1" applyAlignment="1" applyProtection="1">
      <alignment horizontal="center" vertical="center" wrapText="1"/>
      <protection hidden="1"/>
    </xf>
    <xf numFmtId="0" fontId="19" fillId="7" borderId="48" xfId="0" applyFont="1" applyFill="1" applyBorder="1" applyAlignment="1" applyProtection="1">
      <alignment horizontal="center" vertical="center" wrapText="1"/>
      <protection hidden="1"/>
    </xf>
    <xf numFmtId="0" fontId="19" fillId="2" borderId="44" xfId="0" applyFont="1" applyFill="1" applyBorder="1" applyAlignment="1" applyProtection="1">
      <alignment horizontal="center" vertical="center" wrapText="1"/>
      <protection hidden="1"/>
    </xf>
    <xf numFmtId="0" fontId="19" fillId="2" borderId="48" xfId="0" applyFont="1" applyFill="1" applyBorder="1" applyAlignment="1" applyProtection="1">
      <alignment horizontal="center" vertical="center" wrapText="1"/>
      <protection hidden="1"/>
    </xf>
    <xf numFmtId="0" fontId="29" fillId="0" borderId="49" xfId="0" applyFont="1" applyBorder="1" applyAlignment="1" applyProtection="1">
      <alignment horizontal="center" vertical="center" wrapText="1"/>
      <protection hidden="1"/>
    </xf>
    <xf numFmtId="0" fontId="29" fillId="0" borderId="35" xfId="0" applyFont="1" applyBorder="1" applyAlignment="1" applyProtection="1">
      <alignment horizontal="center" vertical="center" wrapText="1"/>
      <protection hidden="1"/>
    </xf>
    <xf numFmtId="0" fontId="29" fillId="0" borderId="19" xfId="0" applyFont="1" applyBorder="1" applyAlignment="1" applyProtection="1">
      <alignment horizontal="center" vertical="center" wrapText="1"/>
      <protection hidden="1"/>
    </xf>
    <xf numFmtId="0" fontId="17" fillId="7" borderId="34" xfId="0" applyFont="1" applyFill="1" applyBorder="1" applyAlignment="1" applyProtection="1">
      <alignment horizontal="center" vertical="center"/>
      <protection hidden="1"/>
    </xf>
    <xf numFmtId="0" fontId="17" fillId="7" borderId="35" xfId="0" applyFont="1" applyFill="1" applyBorder="1" applyAlignment="1" applyProtection="1">
      <alignment horizontal="center" vertical="center"/>
      <protection hidden="1"/>
    </xf>
    <xf numFmtId="0" fontId="17" fillId="7" borderId="36" xfId="0" applyFont="1" applyFill="1" applyBorder="1" applyAlignment="1" applyProtection="1">
      <alignment horizontal="center" vertical="center"/>
      <protection hidden="1"/>
    </xf>
    <xf numFmtId="0" fontId="29" fillId="0" borderId="49" xfId="0" applyFont="1" applyBorder="1" applyAlignment="1" applyProtection="1">
      <alignment horizontal="center" wrapText="1"/>
      <protection hidden="1"/>
    </xf>
    <xf numFmtId="0" fontId="29" fillId="0" borderId="35" xfId="0" applyFont="1" applyBorder="1" applyAlignment="1" applyProtection="1">
      <alignment horizontal="center" wrapText="1"/>
      <protection hidden="1"/>
    </xf>
    <xf numFmtId="0" fontId="29" fillId="0" borderId="19" xfId="0" applyFont="1" applyBorder="1" applyAlignment="1" applyProtection="1">
      <alignment horizontal="center" wrapText="1"/>
      <protection hidden="1"/>
    </xf>
    <xf numFmtId="0" fontId="29" fillId="0" borderId="50" xfId="0" applyFont="1" applyBorder="1" applyAlignment="1" applyProtection="1">
      <alignment horizontal="center" wrapText="1"/>
      <protection hidden="1"/>
    </xf>
    <xf numFmtId="0" fontId="29" fillId="0" borderId="41" xfId="0" applyFont="1" applyBorder="1" applyAlignment="1" applyProtection="1">
      <alignment horizontal="center" wrapText="1"/>
      <protection hidden="1"/>
    </xf>
    <xf numFmtId="0" fontId="17" fillId="7" borderId="51" xfId="0" applyFont="1" applyFill="1" applyBorder="1" applyAlignment="1" applyProtection="1">
      <alignment horizontal="center" vertical="center"/>
      <protection hidden="1"/>
    </xf>
    <xf numFmtId="0" fontId="17" fillId="7" borderId="39" xfId="0" applyFont="1" applyFill="1" applyBorder="1" applyAlignment="1" applyProtection="1">
      <alignment horizontal="center" vertical="center"/>
      <protection hidden="1"/>
    </xf>
    <xf numFmtId="0" fontId="17" fillId="7" borderId="40" xfId="0" applyFont="1" applyFill="1" applyBorder="1" applyAlignment="1" applyProtection="1">
      <alignment horizontal="center" vertical="center"/>
      <protection hidden="1"/>
    </xf>
    <xf numFmtId="0" fontId="32" fillId="7" borderId="0" xfId="0" applyFont="1" applyFill="1" applyAlignment="1" applyProtection="1">
      <alignment horizontal="center" wrapText="1"/>
      <protection hidden="1"/>
    </xf>
    <xf numFmtId="0" fontId="30" fillId="0" borderId="50" xfId="0" applyFont="1" applyBorder="1" applyAlignment="1" applyProtection="1">
      <alignment horizontal="center" vertical="center"/>
      <protection hidden="1"/>
    </xf>
    <xf numFmtId="0" fontId="30" fillId="0" borderId="39" xfId="0" applyFont="1" applyBorder="1" applyAlignment="1" applyProtection="1">
      <alignment horizontal="center" vertical="center"/>
      <protection hidden="1"/>
    </xf>
    <xf numFmtId="0" fontId="30" fillId="0" borderId="41" xfId="0" applyFont="1" applyBorder="1" applyAlignment="1" applyProtection="1">
      <alignment horizontal="center" vertical="center"/>
      <protection hidden="1"/>
    </xf>
    <xf numFmtId="0" fontId="29" fillId="0" borderId="26" xfId="0" applyFont="1" applyBorder="1" applyAlignment="1" applyProtection="1">
      <alignment horizontal="center" wrapText="1"/>
      <protection hidden="1"/>
    </xf>
    <xf numFmtId="0" fontId="29" fillId="0" borderId="3" xfId="0" applyFont="1" applyBorder="1" applyAlignment="1" applyProtection="1">
      <alignment horizontal="center" wrapText="1"/>
      <protection hidden="1"/>
    </xf>
    <xf numFmtId="0" fontId="29" fillId="0" borderId="22" xfId="0" applyFont="1" applyBorder="1" applyAlignment="1" applyProtection="1">
      <alignment horizontal="center" wrapText="1"/>
      <protection hidden="1"/>
    </xf>
    <xf numFmtId="0" fontId="29" fillId="0" borderId="23" xfId="0" applyFont="1" applyBorder="1" applyAlignment="1" applyProtection="1">
      <alignment horizontal="center" wrapText="1"/>
      <protection hidden="1"/>
    </xf>
    <xf numFmtId="0" fontId="30" fillId="0" borderId="49" xfId="0" applyFont="1" applyBorder="1" applyAlignment="1" applyProtection="1">
      <alignment horizontal="center" vertical="center"/>
      <protection hidden="1"/>
    </xf>
    <xf numFmtId="0" fontId="30" fillId="0" borderId="35" xfId="0" applyFont="1" applyBorder="1" applyAlignment="1" applyProtection="1">
      <alignment horizontal="center" vertical="center"/>
      <protection hidden="1"/>
    </xf>
    <xf numFmtId="0" fontId="30" fillId="0" borderId="19" xfId="0" applyFont="1" applyBorder="1" applyAlignment="1" applyProtection="1">
      <alignment horizontal="center" vertical="center"/>
      <protection hidden="1"/>
    </xf>
    <xf numFmtId="0" fontId="0" fillId="0" borderId="34" xfId="0" applyFont="1" applyBorder="1" applyAlignment="1" applyProtection="1">
      <alignment horizontal="center"/>
      <protection hidden="1"/>
    </xf>
    <xf numFmtId="0" fontId="0" fillId="0" borderId="36" xfId="0" applyFont="1" applyBorder="1" applyAlignment="1" applyProtection="1">
      <alignment horizontal="center"/>
      <protection hidden="1"/>
    </xf>
    <xf numFmtId="0" fontId="0" fillId="0" borderId="51" xfId="0" applyFont="1" applyBorder="1" applyAlignment="1" applyProtection="1">
      <alignment horizontal="center"/>
      <protection hidden="1"/>
    </xf>
    <xf numFmtId="0" fontId="0" fillId="0" borderId="40" xfId="0" applyFont="1" applyBorder="1" applyAlignment="1" applyProtection="1">
      <alignment horizontal="center"/>
      <protection hidden="1"/>
    </xf>
    <xf numFmtId="0" fontId="17" fillId="2" borderId="0" xfId="0" applyFont="1" applyFill="1" applyAlignment="1" applyProtection="1">
      <alignment horizontal="center" vertical="center" wrapText="1"/>
      <protection hidden="1"/>
    </xf>
  </cellXfs>
  <cellStyles count="11">
    <cellStyle name="Currency_Fichas" xfId="7"/>
    <cellStyle name="Hipervínculo" xfId="8" builtinId="8"/>
    <cellStyle name="Millares" xfId="3" builtinId="3"/>
    <cellStyle name="Millares [0] 2" xfId="4"/>
    <cellStyle name="Moneda" xfId="9" builtinId="4"/>
    <cellStyle name="Moneda [0]" xfId="10" builtinId="7"/>
    <cellStyle name="Moneda [0] 2" xfId="5"/>
    <cellStyle name="Moneda [0] 4" xfId="6"/>
    <cellStyle name="Normal" xfId="0" builtinId="0"/>
    <cellStyle name="Normal 2" xfId="2"/>
    <cellStyle name="Porcentaje" xfId="1" builtinId="5"/>
  </cellStyles>
  <dxfs count="25">
    <dxf>
      <fill>
        <patternFill>
          <bgColor theme="5" tint="0.59996337778862885"/>
        </patternFill>
      </fill>
    </dxf>
    <dxf>
      <fill>
        <patternFill>
          <bgColor rgb="FFFF0000"/>
        </patternFill>
      </fill>
    </dxf>
    <dxf>
      <fill>
        <patternFill patternType="solid">
          <fgColor rgb="FFFF0000"/>
          <bgColor rgb="FFFF0000"/>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4" tint="0.79998168889431442"/>
        </patternFill>
      </fill>
    </dxf>
    <dxf>
      <fill>
        <patternFill>
          <bgColor theme="8" tint="0.79998168889431442"/>
        </patternFill>
      </fill>
    </dxf>
    <dxf>
      <fill>
        <patternFill>
          <bgColor theme="3" tint="0.79998168889431442"/>
        </patternFill>
      </fill>
    </dxf>
    <dxf>
      <font>
        <color rgb="FF006100"/>
      </font>
      <fill>
        <patternFill>
          <bgColor rgb="FFC6EFCE"/>
        </patternFill>
      </fill>
    </dxf>
    <dxf>
      <font>
        <color rgb="FF9C0006"/>
      </font>
      <fill>
        <patternFill>
          <bgColor rgb="FFFFC7CE"/>
        </patternFill>
      </fill>
    </dxf>
    <dxf>
      <fill>
        <patternFill>
          <bgColor theme="4" tint="0.79998168889431442"/>
        </patternFill>
      </fill>
    </dxf>
    <dxf>
      <fill>
        <patternFill>
          <bgColor theme="8" tint="0.79998168889431442"/>
        </patternFill>
      </fill>
    </dxf>
    <dxf>
      <font>
        <color theme="7" tint="-0.24994659260841701"/>
      </font>
      <fill>
        <patternFill>
          <bgColor theme="7" tint="0.59996337778862885"/>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Medium9"/>
  <colors>
    <mruColors>
      <color rgb="FFFF99FF"/>
      <color rgb="FFFF00FF"/>
      <color rgb="FFCC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hyperlink" Target="#BIENVENIDOS!E34"/><Relationship Id="rId2" Type="http://schemas.openxmlformats.org/officeDocument/2006/relationships/image" Target="../media/image1.png"/><Relationship Id="rId1" Type="http://schemas.openxmlformats.org/officeDocument/2006/relationships/hyperlink" Target="https://www.unisabana.edu.co/vitalchallenge/" TargetMode="External"/><Relationship Id="rId6" Type="http://schemas.openxmlformats.org/officeDocument/2006/relationships/hyperlink" Target="#FORMULARIO!C9"/><Relationship Id="rId5" Type="http://schemas.microsoft.com/office/2007/relationships/hdphoto" Target="../media/hdphoto1.wdp"/><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hyperlink" Target="mailto:vital.challenge@unisabana.edu.co?subject=INSCRIPCI&#211;N%20AL%20VITAL%20CHALLENGE" TargetMode="External"/><Relationship Id="rId1" Type="http://schemas.openxmlformats.org/officeDocument/2006/relationships/image" Target="../media/image1.png"/><Relationship Id="rId6" Type="http://schemas.openxmlformats.org/officeDocument/2006/relationships/image" Target="../media/image6.jpeg"/><Relationship Id="rId11" Type="http://schemas.microsoft.com/office/2007/relationships/hdphoto" Target="../media/hdphoto2.wdp"/><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552451</xdr:colOff>
      <xdr:row>2</xdr:row>
      <xdr:rowOff>180975</xdr:rowOff>
    </xdr:from>
    <xdr:to>
      <xdr:col>5</xdr:col>
      <xdr:colOff>1146342</xdr:colOff>
      <xdr:row>22</xdr:row>
      <xdr:rowOff>66675</xdr:rowOff>
    </xdr:to>
    <xdr:pic>
      <xdr:nvPicPr>
        <xdr:cNvPr id="3" name="Imagen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2451" y="647700"/>
          <a:ext cx="4699166" cy="3324225"/>
        </a:xfrm>
        <a:prstGeom prst="rect">
          <a:avLst/>
        </a:prstGeom>
      </xdr:spPr>
    </xdr:pic>
    <xdr:clientData/>
  </xdr:twoCellAnchor>
  <xdr:twoCellAnchor editAs="oneCell">
    <xdr:from>
      <xdr:col>5</xdr:col>
      <xdr:colOff>876299</xdr:colOff>
      <xdr:row>16</xdr:row>
      <xdr:rowOff>38101</xdr:rowOff>
    </xdr:from>
    <xdr:to>
      <xdr:col>5</xdr:col>
      <xdr:colOff>1238249</xdr:colOff>
      <xdr:row>18</xdr:row>
      <xdr:rowOff>123826</xdr:rowOff>
    </xdr:to>
    <xdr:pic>
      <xdr:nvPicPr>
        <xdr:cNvPr id="4" name="Imagen 3" descr="Free Click Icon, Symbol. Download in PNG, SVG format.">
          <a:hlinkClick xmlns:r="http://schemas.openxmlformats.org/officeDocument/2006/relationships" r:id="rId3" tooltip="IR A INGREDIENTES LOCALES"/>
        </xdr:cNvPr>
        <xdr:cNvPicPr>
          <a:picLocks noChangeAspect="1" noChangeArrowheads="1"/>
        </xdr:cNvPicPr>
      </xdr:nvPicPr>
      <xdr:blipFill>
        <a:blip xmlns:r="http://schemas.openxmlformats.org/officeDocument/2006/relationships" r:embed="rId4" cstate="print">
          <a:duotone>
            <a:schemeClr val="accent1">
              <a:shade val="45000"/>
              <a:satMod val="135000"/>
            </a:schemeClr>
            <a:prstClr val="white"/>
          </a:duotone>
          <a:extLst>
            <a:ext uri="{BEBA8EAE-BF5A-486C-A8C5-ECC9F3942E4B}">
              <a14:imgProps xmlns:a14="http://schemas.microsoft.com/office/drawing/2010/main">
                <a14:imgLayer r:embed="rId5">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rot="2818490">
          <a:off x="4981574" y="3114676"/>
          <a:ext cx="36195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3686174</xdr:colOff>
      <xdr:row>23</xdr:row>
      <xdr:rowOff>85724</xdr:rowOff>
    </xdr:from>
    <xdr:to>
      <xdr:col>6</xdr:col>
      <xdr:colOff>200024</xdr:colOff>
      <xdr:row>24</xdr:row>
      <xdr:rowOff>152399</xdr:rowOff>
    </xdr:to>
    <xdr:pic>
      <xdr:nvPicPr>
        <xdr:cNvPr id="5" name="Imagen 4" descr="Free Click Icon, Symbol. Download in PNG, SVG format.">
          <a:hlinkClick xmlns:r="http://schemas.openxmlformats.org/officeDocument/2006/relationships" r:id="rId6" tooltip="AHORA DIGITA TU RECETA"/>
        </xdr:cNvPr>
        <xdr:cNvPicPr>
          <a:picLocks noChangeAspect="1" noChangeArrowheads="1"/>
        </xdr:cNvPicPr>
      </xdr:nvPicPr>
      <xdr:blipFill>
        <a:blip xmlns:r="http://schemas.openxmlformats.org/officeDocument/2006/relationships" r:embed="rId4" cstate="print">
          <a:duotone>
            <a:schemeClr val="accent1">
              <a:shade val="45000"/>
              <a:satMod val="135000"/>
            </a:schemeClr>
            <a:prstClr val="white"/>
          </a:duotone>
          <a:extLst>
            <a:ext uri="{BEBA8EAE-BF5A-486C-A8C5-ECC9F3942E4B}">
              <a14:imgProps xmlns:a14="http://schemas.microsoft.com/office/drawing/2010/main">
                <a14:imgLayer r:embed="rId5">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rot="3058353">
          <a:off x="7791449" y="4190999"/>
          <a:ext cx="36195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228600</xdr:colOff>
      <xdr:row>23</xdr:row>
      <xdr:rowOff>57150</xdr:rowOff>
    </xdr:from>
    <xdr:to>
      <xdr:col>13</xdr:col>
      <xdr:colOff>228600</xdr:colOff>
      <xdr:row>24</xdr:row>
      <xdr:rowOff>171450</xdr:rowOff>
    </xdr:to>
    <xdr:sp macro="" textlink="">
      <xdr:nvSpPr>
        <xdr:cNvPr id="6" name="Rectángulo redondeado 5">
          <a:hlinkClick xmlns:r="http://schemas.openxmlformats.org/officeDocument/2006/relationships" r:id="rId6" tooltip="AHORA DIGITA TU RECETA"/>
        </xdr:cNvPr>
        <xdr:cNvSpPr/>
      </xdr:nvSpPr>
      <xdr:spPr>
        <a:xfrm>
          <a:off x="8181975" y="4162425"/>
          <a:ext cx="3562350" cy="409575"/>
        </a:xfrm>
        <a:prstGeom prst="roundRect">
          <a:avLst/>
        </a:prstGeom>
        <a:solidFill>
          <a:srgbClr val="FF99FF"/>
        </a:solidFill>
        <a:ln>
          <a:noFill/>
        </a:ln>
        <a:effectLst>
          <a:outerShdw blurRad="107950" dist="12700" dir="5400000" algn="ctr">
            <a:srgbClr val="000000"/>
          </a:outerShdw>
        </a:effectLst>
        <a:scene3d>
          <a:camera prst="orthographicFront">
            <a:rot lat="0" lon="0" rev="0"/>
          </a:camera>
          <a:lightRig rig="soft" dir="t">
            <a:rot lat="0" lon="0" rev="0"/>
          </a:lightRig>
        </a:scene3d>
        <a:sp3d extrusionH="76200" contourW="44450" prstMaterial="matte">
          <a:bevelT w="63500" h="63500" prst="artDeco"/>
          <a:contourClr>
            <a:schemeClr val="tx2"/>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solidFill>
                <a:schemeClr val="accent1"/>
              </a:solidFill>
            </a:rPr>
            <a:t>PASA A LA SIGUIENTE HOJA, AQUÍ</a:t>
          </a:r>
          <a:endParaRPr lang="es-CO" sz="1050" b="1">
            <a:solidFill>
              <a:schemeClr val="accent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357188</xdr:colOff>
      <xdr:row>0</xdr:row>
      <xdr:rowOff>59530</xdr:rowOff>
    </xdr:from>
    <xdr:to>
      <xdr:col>4</xdr:col>
      <xdr:colOff>1166814</xdr:colOff>
      <xdr:row>3</xdr:row>
      <xdr:rowOff>179387</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86376" y="59530"/>
          <a:ext cx="2357438" cy="1667669"/>
        </a:xfrm>
        <a:prstGeom prst="rect">
          <a:avLst/>
        </a:prstGeom>
      </xdr:spPr>
    </xdr:pic>
    <xdr:clientData/>
  </xdr:twoCellAnchor>
  <xdr:twoCellAnchor>
    <xdr:from>
      <xdr:col>6</xdr:col>
      <xdr:colOff>0</xdr:colOff>
      <xdr:row>13</xdr:row>
      <xdr:rowOff>59531</xdr:rowOff>
    </xdr:from>
    <xdr:to>
      <xdr:col>8</xdr:col>
      <xdr:colOff>1262063</xdr:colOff>
      <xdr:row>18</xdr:row>
      <xdr:rowOff>0</xdr:rowOff>
    </xdr:to>
    <xdr:sp macro="" textlink="">
      <xdr:nvSpPr>
        <xdr:cNvPr id="4" name="Rectángulo redondeado 3">
          <a:hlinkClick xmlns:r="http://schemas.openxmlformats.org/officeDocument/2006/relationships" r:id="rId2" tooltip="ENVÍA EL FORMULARIO"/>
        </xdr:cNvPr>
        <xdr:cNvSpPr/>
      </xdr:nvSpPr>
      <xdr:spPr>
        <a:xfrm>
          <a:off x="8108156" y="4488656"/>
          <a:ext cx="3905251" cy="952500"/>
        </a:xfrm>
        <a:prstGeom prst="roundRect">
          <a:avLst/>
        </a:prstGeom>
        <a:solidFill>
          <a:srgbClr val="FF99FF"/>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chemeClr val="tx2"/>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800" b="1">
              <a:solidFill>
                <a:schemeClr val="accent1"/>
              </a:solidFill>
            </a:rPr>
            <a:t>ENVÍA</a:t>
          </a:r>
          <a:r>
            <a:rPr lang="es-CO" sz="2800" b="1" baseline="0">
              <a:solidFill>
                <a:schemeClr val="accent1"/>
              </a:solidFill>
            </a:rPr>
            <a:t> EL</a:t>
          </a:r>
          <a:r>
            <a:rPr lang="es-CO" sz="2800" b="1">
              <a:solidFill>
                <a:schemeClr val="accent1"/>
              </a:solidFill>
            </a:rPr>
            <a:t> FORMULARIO</a:t>
          </a:r>
          <a:endParaRPr lang="es-CO" sz="1400" b="1">
            <a:solidFill>
              <a:schemeClr val="accent1"/>
            </a:solidFill>
          </a:endParaRPr>
        </a:p>
      </xdr:txBody>
    </xdr:sp>
    <xdr:clientData/>
  </xdr:twoCellAnchor>
  <xdr:twoCellAnchor editAs="oneCell">
    <xdr:from>
      <xdr:col>6</xdr:col>
      <xdr:colOff>250030</xdr:colOff>
      <xdr:row>3</xdr:row>
      <xdr:rowOff>59531</xdr:rowOff>
    </xdr:from>
    <xdr:to>
      <xdr:col>6</xdr:col>
      <xdr:colOff>1059655</xdr:colOff>
      <xdr:row>5</xdr:row>
      <xdr:rowOff>83343</xdr:rowOff>
    </xdr:to>
    <xdr:pic>
      <xdr:nvPicPr>
        <xdr:cNvPr id="3" name="Imagen 2"/>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8358186" y="1690687"/>
          <a:ext cx="809625" cy="809625"/>
        </a:xfrm>
        <a:prstGeom prst="rect">
          <a:avLst/>
        </a:prstGeom>
      </xdr:spPr>
    </xdr:pic>
    <xdr:clientData/>
  </xdr:twoCellAnchor>
  <xdr:twoCellAnchor editAs="oneCell">
    <xdr:from>
      <xdr:col>7</xdr:col>
      <xdr:colOff>281212</xdr:colOff>
      <xdr:row>3</xdr:row>
      <xdr:rowOff>71436</xdr:rowOff>
    </xdr:from>
    <xdr:to>
      <xdr:col>7</xdr:col>
      <xdr:colOff>1047750</xdr:colOff>
      <xdr:row>5</xdr:row>
      <xdr:rowOff>121442</xdr:rowOff>
    </xdr:to>
    <xdr:pic>
      <xdr:nvPicPr>
        <xdr:cNvPr id="14" name="Imagen 13" descr="Carbohydrates - Carbs Icon Transparent PNG - 880x880 - Free Download on  NicePNG"/>
        <xdr:cNvPicPr>
          <a:picLocks noChangeAspect="1" noChangeArrowheads="1"/>
        </xdr:cNvPicPr>
      </xdr:nvPicPr>
      <xdr:blipFill>
        <a:blip xmlns:r="http://schemas.openxmlformats.org/officeDocument/2006/relationships" r:embed="rId4" cstate="print">
          <a:clrChange>
            <a:clrFrom>
              <a:srgbClr val="F6F6F6"/>
            </a:clrFrom>
            <a:clrTo>
              <a:srgbClr val="F6F6F6">
                <a:alpha val="0"/>
              </a:srgbClr>
            </a:clrTo>
          </a:clrChange>
          <a:extLst>
            <a:ext uri="{28A0092B-C50C-407E-A947-70E740481C1C}">
              <a14:useLocalDpi xmlns:a14="http://schemas.microsoft.com/office/drawing/2010/main" val="0"/>
            </a:ext>
          </a:extLst>
        </a:blip>
        <a:srcRect/>
        <a:stretch>
          <a:fillRect/>
        </a:stretch>
      </xdr:blipFill>
      <xdr:spPr bwMode="auto">
        <a:xfrm>
          <a:off x="9710962" y="1702592"/>
          <a:ext cx="766538" cy="835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192263</xdr:colOff>
      <xdr:row>3</xdr:row>
      <xdr:rowOff>89059</xdr:rowOff>
    </xdr:from>
    <xdr:to>
      <xdr:col>8</xdr:col>
      <xdr:colOff>1095374</xdr:colOff>
      <xdr:row>5</xdr:row>
      <xdr:rowOff>203230</xdr:rowOff>
    </xdr:to>
    <xdr:pic>
      <xdr:nvPicPr>
        <xdr:cNvPr id="5" name="Imagen 4"/>
        <xdr:cNvPicPr>
          <a:picLocks noChangeAspect="1"/>
        </xdr:cNvPicPr>
      </xdr:nvPicPr>
      <xdr:blipFill rotWithShape="1">
        <a:blip xmlns:r="http://schemas.openxmlformats.org/officeDocument/2006/relationships" r:embed="rId5">
          <a:clrChange>
            <a:clrFrom>
              <a:srgbClr val="FFFFFF"/>
            </a:clrFrom>
            <a:clrTo>
              <a:srgbClr val="FFFFFF">
                <a:alpha val="0"/>
              </a:srgbClr>
            </a:clrTo>
          </a:clrChange>
        </a:blip>
        <a:srcRect b="7728"/>
        <a:stretch/>
      </xdr:blipFill>
      <xdr:spPr>
        <a:xfrm>
          <a:off x="10943607" y="1720215"/>
          <a:ext cx="903111" cy="899984"/>
        </a:xfrm>
        <a:prstGeom prst="rect">
          <a:avLst/>
        </a:prstGeom>
      </xdr:spPr>
    </xdr:pic>
    <xdr:clientData/>
  </xdr:twoCellAnchor>
  <xdr:twoCellAnchor editAs="oneCell">
    <xdr:from>
      <xdr:col>9</xdr:col>
      <xdr:colOff>246223</xdr:colOff>
      <xdr:row>3</xdr:row>
      <xdr:rowOff>142874</xdr:rowOff>
    </xdr:from>
    <xdr:to>
      <xdr:col>9</xdr:col>
      <xdr:colOff>1095375</xdr:colOff>
      <xdr:row>5</xdr:row>
      <xdr:rowOff>155379</xdr:rowOff>
    </xdr:to>
    <xdr:pic>
      <xdr:nvPicPr>
        <xdr:cNvPr id="6" name="Imagen 5"/>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2319161" y="1774030"/>
          <a:ext cx="849152" cy="798318"/>
        </a:xfrm>
        <a:prstGeom prst="rect">
          <a:avLst/>
        </a:prstGeom>
      </xdr:spPr>
    </xdr:pic>
    <xdr:clientData/>
  </xdr:twoCellAnchor>
  <xdr:twoCellAnchor editAs="oneCell">
    <xdr:from>
      <xdr:col>10</xdr:col>
      <xdr:colOff>309563</xdr:colOff>
      <xdr:row>3</xdr:row>
      <xdr:rowOff>223276</xdr:rowOff>
    </xdr:from>
    <xdr:to>
      <xdr:col>10</xdr:col>
      <xdr:colOff>990598</xdr:colOff>
      <xdr:row>5</xdr:row>
      <xdr:rowOff>123824</xdr:rowOff>
    </xdr:to>
    <xdr:pic>
      <xdr:nvPicPr>
        <xdr:cNvPr id="16" name="Imagen 15" descr="Salt - Free food icons"/>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704094" y="1854432"/>
          <a:ext cx="681035" cy="6863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xdr:row>
      <xdr:rowOff>685267</xdr:rowOff>
    </xdr:from>
    <xdr:to>
      <xdr:col>11</xdr:col>
      <xdr:colOff>1285875</xdr:colOff>
      <xdr:row>6</xdr:row>
      <xdr:rowOff>0</xdr:rowOff>
    </xdr:to>
    <xdr:pic>
      <xdr:nvPicPr>
        <xdr:cNvPr id="7" name="Imagen 6"/>
        <xdr:cNvPicPr>
          <a:picLocks noChangeAspect="1"/>
        </xdr:cNvPicPr>
      </xdr:nvPicPr>
      <xdr:blipFill>
        <a:blip xmlns:r="http://schemas.openxmlformats.org/officeDocument/2006/relationships" r:embed="rId8">
          <a:clrChange>
            <a:clrFrom>
              <a:srgbClr val="FFFFFF"/>
            </a:clrFrom>
            <a:clrTo>
              <a:srgbClr val="FFFFFF">
                <a:alpha val="0"/>
              </a:srgbClr>
            </a:clrTo>
          </a:clrChange>
        </a:blip>
        <a:stretch>
          <a:fillRect/>
        </a:stretch>
      </xdr:blipFill>
      <xdr:spPr>
        <a:xfrm>
          <a:off x="14725650" y="1513942"/>
          <a:ext cx="1285875" cy="1248308"/>
        </a:xfrm>
        <a:prstGeom prst="rect">
          <a:avLst/>
        </a:prstGeom>
      </xdr:spPr>
    </xdr:pic>
    <xdr:clientData/>
  </xdr:twoCellAnchor>
  <xdr:twoCellAnchor editAs="oneCell">
    <xdr:from>
      <xdr:col>7</xdr:col>
      <xdr:colOff>226216</xdr:colOff>
      <xdr:row>8</xdr:row>
      <xdr:rowOff>75526</xdr:rowOff>
    </xdr:from>
    <xdr:to>
      <xdr:col>7</xdr:col>
      <xdr:colOff>994055</xdr:colOff>
      <xdr:row>12</xdr:row>
      <xdr:rowOff>42858</xdr:rowOff>
    </xdr:to>
    <xdr:pic>
      <xdr:nvPicPr>
        <xdr:cNvPr id="17" name="Imagen 16" descr="Dollar Money Icon. Cash Sign Bill Symbol Flat Payment, Dollar Currency Icon  Stock Vector - Illustration of hand, isolated: 147323372"/>
        <xdr:cNvPicPr>
          <a:picLocks noChangeAspect="1" noChangeArrowheads="1"/>
        </xdr:cNvPicPr>
      </xdr:nvPicPr>
      <xdr:blipFill>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251154" y="3492620"/>
          <a:ext cx="767839" cy="776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857209</xdr:colOff>
      <xdr:row>9</xdr:row>
      <xdr:rowOff>179011</xdr:rowOff>
    </xdr:from>
    <xdr:to>
      <xdr:col>9</xdr:col>
      <xdr:colOff>513341</xdr:colOff>
      <xdr:row>14</xdr:row>
      <xdr:rowOff>144706</xdr:rowOff>
    </xdr:to>
    <xdr:pic>
      <xdr:nvPicPr>
        <xdr:cNvPr id="11" name="Imagen 10" descr="Free Click Icon, Symbol. Download in PNG, SVG format.">
          <a:hlinkClick xmlns:r="http://schemas.openxmlformats.org/officeDocument/2006/relationships" r:id="rId2" tooltip="ENVÍA EL FORMULARIO"/>
        </xdr:cNvPr>
        <xdr:cNvPicPr>
          <a:picLocks noChangeAspect="1" noChangeArrowheads="1"/>
        </xdr:cNvPicPr>
      </xdr:nvPicPr>
      <xdr:blipFill>
        <a:blip xmlns:r="http://schemas.openxmlformats.org/officeDocument/2006/relationships" r:embed="rId10" cstate="print">
          <a:duotone>
            <a:schemeClr val="accent1">
              <a:shade val="45000"/>
              <a:satMod val="135000"/>
            </a:schemeClr>
            <a:prstClr val="white"/>
          </a:duotone>
          <a:extLst>
            <a:ext uri="{BEBA8EAE-BF5A-486C-A8C5-ECC9F3942E4B}">
              <a14:imgProps xmlns:a14="http://schemas.microsoft.com/office/drawing/2010/main">
                <a14:imgLayer r:embed="rId11">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rot="13693342">
          <a:off x="11203740" y="3846136"/>
          <a:ext cx="977726" cy="977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44303</xdr:colOff>
      <xdr:row>0</xdr:row>
      <xdr:rowOff>121832</xdr:rowOff>
    </xdr:from>
    <xdr:to>
      <xdr:col>5</xdr:col>
      <xdr:colOff>1759357</xdr:colOff>
      <xdr:row>1</xdr:row>
      <xdr:rowOff>159453</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81134" y="121832"/>
          <a:ext cx="2357438" cy="17986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544284</xdr:colOff>
      <xdr:row>0</xdr:row>
      <xdr:rowOff>0</xdr:rowOff>
    </xdr:from>
    <xdr:to>
      <xdr:col>6</xdr:col>
      <xdr:colOff>2485427</xdr:colOff>
      <xdr:row>5</xdr:row>
      <xdr:rowOff>64109</xdr:rowOff>
    </xdr:to>
    <xdr:pic>
      <xdr:nvPicPr>
        <xdr:cNvPr id="3" name="Imagen 2">
          <a:extLst>
            <a:ext uri="{FF2B5EF4-FFF2-40B4-BE49-F238E27FC236}">
              <a16:creationId xmlns:a16="http://schemas.microsoft.com/office/drawing/2014/main" id="{171EFCF5-2A03-47CB-8457-B9831CBE080F}"/>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1375570" y="0"/>
          <a:ext cx="1941143" cy="12887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380607</xdr:colOff>
      <xdr:row>8</xdr:row>
      <xdr:rowOff>18143</xdr:rowOff>
    </xdr:from>
    <xdr:to>
      <xdr:col>1</xdr:col>
      <xdr:colOff>2078541</xdr:colOff>
      <xdr:row>13</xdr:row>
      <xdr:rowOff>105463</xdr:rowOff>
    </xdr:to>
    <xdr:pic>
      <xdr:nvPicPr>
        <xdr:cNvPr id="2" name="Imagen 1">
          <a:extLst>
            <a:ext uri="{FF2B5EF4-FFF2-40B4-BE49-F238E27FC236}">
              <a16:creationId xmlns:a16="http://schemas.microsoft.com/office/drawing/2014/main" id="{4E8DD90B-57C6-4169-BCD8-C4927B67DDEA}"/>
            </a:ext>
          </a:extLst>
        </xdr:cNvPr>
        <xdr:cNvPicPr>
          <a:picLocks noChangeAspect="1"/>
        </xdr:cNvPicPr>
      </xdr:nvPicPr>
      <xdr:blipFill>
        <a:blip xmlns:r="http://schemas.openxmlformats.org/officeDocument/2006/relationships" r:embed="rId1"/>
        <a:stretch>
          <a:fillRect/>
        </a:stretch>
      </xdr:blipFill>
      <xdr:spPr>
        <a:xfrm>
          <a:off x="1024678" y="1587500"/>
          <a:ext cx="1697934" cy="10398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1143000</xdr:colOff>
      <xdr:row>63</xdr:row>
      <xdr:rowOff>0</xdr:rowOff>
    </xdr:from>
    <xdr:to>
      <xdr:col>4</xdr:col>
      <xdr:colOff>1133475</xdr:colOff>
      <xdr:row>63</xdr:row>
      <xdr:rowOff>266700</xdr:rowOff>
    </xdr:to>
    <xdr:sp macro="" textlink="">
      <xdr:nvSpPr>
        <xdr:cNvPr id="8" name="Left Arrow 7">
          <a:extLst>
            <a:ext uri="{FF2B5EF4-FFF2-40B4-BE49-F238E27FC236}">
              <a16:creationId xmlns:a16="http://schemas.microsoft.com/office/drawing/2014/main" id="{958BF0D2-3601-4CA4-B6EE-C780917297FC}"/>
            </a:ext>
            <a:ext uri="{147F2762-F138-4A5C-976F-8EAC2B608ADB}">
              <a16:predDERef xmlns:a16="http://schemas.microsoft.com/office/drawing/2014/main" pred="{885FE78F-C19A-4FAB-B28E-5D090BC037B3}"/>
            </a:ext>
          </a:extLst>
        </xdr:cNvPr>
        <xdr:cNvSpPr/>
      </xdr:nvSpPr>
      <xdr:spPr>
        <a:xfrm rot="10800000">
          <a:off x="4400550" y="12115800"/>
          <a:ext cx="1266825" cy="266700"/>
        </a:xfrm>
        <a:prstGeom prst="leftArrow">
          <a:avLst/>
        </a:prstGeom>
        <a:solidFill>
          <a:srgbClr val="FFFF00"/>
        </a:solidFill>
        <a:ln w="12700">
          <a:solidFill>
            <a:srgbClr val="FFFF00"/>
          </a:solidFill>
          <a:prstDash val="solid"/>
        </a:ln>
        <a:effectLst/>
      </xdr:spPr>
      <xdr:style>
        <a:lnRef idx="2">
          <a:schemeClr val="accent1">
            <a:shade val="50000"/>
          </a:schemeClr>
        </a:lnRef>
        <a:fillRef idx="1">
          <a:schemeClr val="accent1"/>
        </a:fillRef>
        <a:effectRef idx="0">
          <a:schemeClr val="accent1"/>
        </a:effectRef>
        <a:fontRef idx="minor">
          <a:srgbClr val="FFFFFF"/>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rgbClr val="FFFFFF"/>
              </a:solidFill>
              <a:latin typeface="+mn-lt"/>
              <a:ea typeface="+mn-ea"/>
              <a:cs typeface="+mn-cs"/>
            </a:defRPr>
          </a:lvl1pPr>
          <a:lvl2pPr marL="457200" indent="0">
            <a:defRPr sz="1100">
              <a:solidFill>
                <a:srgbClr val="FFFFFF"/>
              </a:solidFill>
              <a:latin typeface="+mn-lt"/>
              <a:ea typeface="+mn-ea"/>
              <a:cs typeface="+mn-cs"/>
            </a:defRPr>
          </a:lvl2pPr>
          <a:lvl3pPr marL="914400" indent="0">
            <a:defRPr sz="1100">
              <a:solidFill>
                <a:srgbClr val="FFFFFF"/>
              </a:solidFill>
              <a:latin typeface="+mn-lt"/>
              <a:ea typeface="+mn-ea"/>
              <a:cs typeface="+mn-cs"/>
            </a:defRPr>
          </a:lvl3pPr>
          <a:lvl4pPr marL="1371600" indent="0">
            <a:defRPr sz="1100">
              <a:solidFill>
                <a:srgbClr val="FFFFFF"/>
              </a:solidFill>
              <a:latin typeface="+mn-lt"/>
              <a:ea typeface="+mn-ea"/>
              <a:cs typeface="+mn-cs"/>
            </a:defRPr>
          </a:lvl4pPr>
          <a:lvl5pPr marL="1828800" indent="0">
            <a:defRPr sz="1100">
              <a:solidFill>
                <a:srgbClr val="FFFFFF"/>
              </a:solidFill>
              <a:latin typeface="+mn-lt"/>
              <a:ea typeface="+mn-ea"/>
              <a:cs typeface="+mn-cs"/>
            </a:defRPr>
          </a:lvl5pPr>
          <a:lvl6pPr marL="2286000" indent="0">
            <a:defRPr sz="1100">
              <a:solidFill>
                <a:srgbClr val="FFFFFF"/>
              </a:solidFill>
              <a:latin typeface="+mn-lt"/>
              <a:ea typeface="+mn-ea"/>
              <a:cs typeface="+mn-cs"/>
            </a:defRPr>
          </a:lvl6pPr>
          <a:lvl7pPr marL="2743200" indent="0">
            <a:defRPr sz="1100">
              <a:solidFill>
                <a:srgbClr val="FFFFFF"/>
              </a:solidFill>
              <a:latin typeface="+mn-lt"/>
              <a:ea typeface="+mn-ea"/>
              <a:cs typeface="+mn-cs"/>
            </a:defRPr>
          </a:lvl7pPr>
          <a:lvl8pPr marL="3200400" indent="0">
            <a:defRPr sz="1100">
              <a:solidFill>
                <a:srgbClr val="FFFFFF"/>
              </a:solidFill>
              <a:latin typeface="+mn-lt"/>
              <a:ea typeface="+mn-ea"/>
              <a:cs typeface="+mn-cs"/>
            </a:defRPr>
          </a:lvl8pPr>
          <a:lvl9pPr marL="3657600" indent="0">
            <a:defRPr sz="1100">
              <a:solidFill>
                <a:srgbClr val="FFFFFF"/>
              </a:solidFill>
              <a:latin typeface="+mn-lt"/>
              <a:ea typeface="+mn-ea"/>
              <a:cs typeface="+mn-cs"/>
            </a:defRPr>
          </a:lvl9pPr>
        </a:lstStyle>
        <a:p>
          <a:pPr algn="l"/>
          <a:endParaRPr lang="en-US"/>
        </a:p>
      </xdr:txBody>
    </xdr:sp>
    <xdr:clientData/>
  </xdr:twoCellAnchor>
  <xdr:twoCellAnchor>
    <xdr:from>
      <xdr:col>7</xdr:col>
      <xdr:colOff>700087</xdr:colOff>
      <xdr:row>70</xdr:row>
      <xdr:rowOff>109538</xdr:rowOff>
    </xdr:from>
    <xdr:to>
      <xdr:col>7</xdr:col>
      <xdr:colOff>976312</xdr:colOff>
      <xdr:row>75</xdr:row>
      <xdr:rowOff>4763</xdr:rowOff>
    </xdr:to>
    <xdr:sp macro="" textlink="">
      <xdr:nvSpPr>
        <xdr:cNvPr id="9" name="Left Arrow 8">
          <a:extLst>
            <a:ext uri="{FF2B5EF4-FFF2-40B4-BE49-F238E27FC236}">
              <a16:creationId xmlns:a16="http://schemas.microsoft.com/office/drawing/2014/main" id="{053E5E40-6AC1-4FDD-A118-444C4F00BDE9}"/>
            </a:ext>
            <a:ext uri="{147F2762-F138-4A5C-976F-8EAC2B608ADB}">
              <a16:predDERef xmlns:a16="http://schemas.microsoft.com/office/drawing/2014/main" pred="{958BF0D2-3601-4CA4-B6EE-C780917297FC}"/>
            </a:ext>
          </a:extLst>
        </xdr:cNvPr>
        <xdr:cNvSpPr/>
      </xdr:nvSpPr>
      <xdr:spPr>
        <a:xfrm rot="5400000">
          <a:off x="9715500" y="14982825"/>
          <a:ext cx="704850" cy="276225"/>
        </a:xfrm>
        <a:prstGeom prst="leftArrow">
          <a:avLst/>
        </a:prstGeom>
        <a:solidFill>
          <a:srgbClr val="FFFF00"/>
        </a:solidFill>
        <a:ln w="12700">
          <a:solidFill>
            <a:srgbClr val="FFFF00"/>
          </a:solidFill>
          <a:prstDash val="solid"/>
        </a:ln>
        <a:effectLst/>
      </xdr:spPr>
      <xdr:style>
        <a:lnRef idx="2">
          <a:schemeClr val="accent1">
            <a:shade val="50000"/>
          </a:schemeClr>
        </a:lnRef>
        <a:fillRef idx="1">
          <a:schemeClr val="accent1"/>
        </a:fillRef>
        <a:effectRef idx="0">
          <a:schemeClr val="accent1"/>
        </a:effectRef>
        <a:fontRef idx="minor">
          <a:srgbClr val="FFFFFF"/>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rgbClr val="FFFFFF"/>
              </a:solidFill>
              <a:latin typeface="+mn-lt"/>
              <a:ea typeface="+mn-ea"/>
              <a:cs typeface="+mn-cs"/>
            </a:defRPr>
          </a:lvl1pPr>
          <a:lvl2pPr marL="457200" indent="0">
            <a:defRPr sz="1100">
              <a:solidFill>
                <a:srgbClr val="FFFFFF"/>
              </a:solidFill>
              <a:latin typeface="+mn-lt"/>
              <a:ea typeface="+mn-ea"/>
              <a:cs typeface="+mn-cs"/>
            </a:defRPr>
          </a:lvl2pPr>
          <a:lvl3pPr marL="914400" indent="0">
            <a:defRPr sz="1100">
              <a:solidFill>
                <a:srgbClr val="FFFFFF"/>
              </a:solidFill>
              <a:latin typeface="+mn-lt"/>
              <a:ea typeface="+mn-ea"/>
              <a:cs typeface="+mn-cs"/>
            </a:defRPr>
          </a:lvl3pPr>
          <a:lvl4pPr marL="1371600" indent="0">
            <a:defRPr sz="1100">
              <a:solidFill>
                <a:srgbClr val="FFFFFF"/>
              </a:solidFill>
              <a:latin typeface="+mn-lt"/>
              <a:ea typeface="+mn-ea"/>
              <a:cs typeface="+mn-cs"/>
            </a:defRPr>
          </a:lvl4pPr>
          <a:lvl5pPr marL="1828800" indent="0">
            <a:defRPr sz="1100">
              <a:solidFill>
                <a:srgbClr val="FFFFFF"/>
              </a:solidFill>
              <a:latin typeface="+mn-lt"/>
              <a:ea typeface="+mn-ea"/>
              <a:cs typeface="+mn-cs"/>
            </a:defRPr>
          </a:lvl5pPr>
          <a:lvl6pPr marL="2286000" indent="0">
            <a:defRPr sz="1100">
              <a:solidFill>
                <a:srgbClr val="FFFFFF"/>
              </a:solidFill>
              <a:latin typeface="+mn-lt"/>
              <a:ea typeface="+mn-ea"/>
              <a:cs typeface="+mn-cs"/>
            </a:defRPr>
          </a:lvl6pPr>
          <a:lvl7pPr marL="2743200" indent="0">
            <a:defRPr sz="1100">
              <a:solidFill>
                <a:srgbClr val="FFFFFF"/>
              </a:solidFill>
              <a:latin typeface="+mn-lt"/>
              <a:ea typeface="+mn-ea"/>
              <a:cs typeface="+mn-cs"/>
            </a:defRPr>
          </a:lvl7pPr>
          <a:lvl8pPr marL="3200400" indent="0">
            <a:defRPr sz="1100">
              <a:solidFill>
                <a:srgbClr val="FFFFFF"/>
              </a:solidFill>
              <a:latin typeface="+mn-lt"/>
              <a:ea typeface="+mn-ea"/>
              <a:cs typeface="+mn-cs"/>
            </a:defRPr>
          </a:lvl8pPr>
          <a:lvl9pPr marL="3657600" indent="0">
            <a:defRPr sz="1100">
              <a:solidFill>
                <a:srgbClr val="FFFFFF"/>
              </a:solidFill>
              <a:latin typeface="+mn-lt"/>
              <a:ea typeface="+mn-ea"/>
              <a:cs typeface="+mn-cs"/>
            </a:defRPr>
          </a:lvl9pPr>
        </a:lstStyle>
        <a:p>
          <a:pPr algn="l"/>
          <a:endParaRPr lang="en-US"/>
        </a:p>
      </xdr:txBody>
    </xdr:sp>
    <xdr:clientData/>
  </xdr:twoCellAnchor>
  <xdr:twoCellAnchor>
    <xdr:from>
      <xdr:col>10</xdr:col>
      <xdr:colOff>1181100</xdr:colOff>
      <xdr:row>70</xdr:row>
      <xdr:rowOff>152400</xdr:rowOff>
    </xdr:from>
    <xdr:to>
      <xdr:col>11</xdr:col>
      <xdr:colOff>66675</xdr:colOff>
      <xdr:row>75</xdr:row>
      <xdr:rowOff>47625</xdr:rowOff>
    </xdr:to>
    <xdr:sp macro="" textlink="">
      <xdr:nvSpPr>
        <xdr:cNvPr id="10" name="Left Arrow 9">
          <a:extLst>
            <a:ext uri="{FF2B5EF4-FFF2-40B4-BE49-F238E27FC236}">
              <a16:creationId xmlns:a16="http://schemas.microsoft.com/office/drawing/2014/main" id="{A9E9178D-7C61-447F-BCC6-F2B72FB761FE}"/>
            </a:ext>
            <a:ext uri="{147F2762-F138-4A5C-976F-8EAC2B608ADB}">
              <a16:predDERef xmlns:a16="http://schemas.microsoft.com/office/drawing/2014/main" pred="{053E5E40-6AC1-4FDD-A118-444C4F00BDE9}"/>
            </a:ext>
          </a:extLst>
        </xdr:cNvPr>
        <xdr:cNvSpPr/>
      </xdr:nvSpPr>
      <xdr:spPr>
        <a:xfrm rot="5400000">
          <a:off x="14111288" y="15025687"/>
          <a:ext cx="704850" cy="276225"/>
        </a:xfrm>
        <a:prstGeom prst="leftArrow">
          <a:avLst/>
        </a:prstGeom>
        <a:solidFill>
          <a:srgbClr val="FFFF00"/>
        </a:solidFill>
        <a:ln w="12700">
          <a:solidFill>
            <a:srgbClr val="FFFF00"/>
          </a:solidFill>
          <a:prstDash val="solid"/>
        </a:ln>
        <a:effectLst/>
      </xdr:spPr>
      <xdr:style>
        <a:lnRef idx="2">
          <a:schemeClr val="accent1">
            <a:shade val="50000"/>
          </a:schemeClr>
        </a:lnRef>
        <a:fillRef idx="1">
          <a:schemeClr val="accent1"/>
        </a:fillRef>
        <a:effectRef idx="0">
          <a:schemeClr val="accent1"/>
        </a:effectRef>
        <a:fontRef idx="minor">
          <a:srgbClr val="FFFFFF"/>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rgbClr val="FFFFFF"/>
              </a:solidFill>
              <a:latin typeface="+mn-lt"/>
              <a:ea typeface="+mn-ea"/>
              <a:cs typeface="+mn-cs"/>
            </a:defRPr>
          </a:lvl1pPr>
          <a:lvl2pPr marL="457200" indent="0">
            <a:defRPr sz="1100">
              <a:solidFill>
                <a:srgbClr val="FFFFFF"/>
              </a:solidFill>
              <a:latin typeface="+mn-lt"/>
              <a:ea typeface="+mn-ea"/>
              <a:cs typeface="+mn-cs"/>
            </a:defRPr>
          </a:lvl2pPr>
          <a:lvl3pPr marL="914400" indent="0">
            <a:defRPr sz="1100">
              <a:solidFill>
                <a:srgbClr val="FFFFFF"/>
              </a:solidFill>
              <a:latin typeface="+mn-lt"/>
              <a:ea typeface="+mn-ea"/>
              <a:cs typeface="+mn-cs"/>
            </a:defRPr>
          </a:lvl3pPr>
          <a:lvl4pPr marL="1371600" indent="0">
            <a:defRPr sz="1100">
              <a:solidFill>
                <a:srgbClr val="FFFFFF"/>
              </a:solidFill>
              <a:latin typeface="+mn-lt"/>
              <a:ea typeface="+mn-ea"/>
              <a:cs typeface="+mn-cs"/>
            </a:defRPr>
          </a:lvl4pPr>
          <a:lvl5pPr marL="1828800" indent="0">
            <a:defRPr sz="1100">
              <a:solidFill>
                <a:srgbClr val="FFFFFF"/>
              </a:solidFill>
              <a:latin typeface="+mn-lt"/>
              <a:ea typeface="+mn-ea"/>
              <a:cs typeface="+mn-cs"/>
            </a:defRPr>
          </a:lvl5pPr>
          <a:lvl6pPr marL="2286000" indent="0">
            <a:defRPr sz="1100">
              <a:solidFill>
                <a:srgbClr val="FFFFFF"/>
              </a:solidFill>
              <a:latin typeface="+mn-lt"/>
              <a:ea typeface="+mn-ea"/>
              <a:cs typeface="+mn-cs"/>
            </a:defRPr>
          </a:lvl6pPr>
          <a:lvl7pPr marL="2743200" indent="0">
            <a:defRPr sz="1100">
              <a:solidFill>
                <a:srgbClr val="FFFFFF"/>
              </a:solidFill>
              <a:latin typeface="+mn-lt"/>
              <a:ea typeface="+mn-ea"/>
              <a:cs typeface="+mn-cs"/>
            </a:defRPr>
          </a:lvl7pPr>
          <a:lvl8pPr marL="3200400" indent="0">
            <a:defRPr sz="1100">
              <a:solidFill>
                <a:srgbClr val="FFFFFF"/>
              </a:solidFill>
              <a:latin typeface="+mn-lt"/>
              <a:ea typeface="+mn-ea"/>
              <a:cs typeface="+mn-cs"/>
            </a:defRPr>
          </a:lvl8pPr>
          <a:lvl9pPr marL="3657600" indent="0">
            <a:defRPr sz="1100">
              <a:solidFill>
                <a:srgbClr val="FFFFFF"/>
              </a:solidFill>
              <a:latin typeface="+mn-lt"/>
              <a:ea typeface="+mn-ea"/>
              <a:cs typeface="+mn-cs"/>
            </a:defRPr>
          </a:lvl9pPr>
        </a:lstStyle>
        <a:p>
          <a:pPr algn="l"/>
          <a:endParaRPr lang="en-US"/>
        </a:p>
      </xdr:txBody>
    </xdr:sp>
    <xdr:clientData/>
  </xdr:twoCellAnchor>
  <xdr:twoCellAnchor>
    <xdr:from>
      <xdr:col>8</xdr:col>
      <xdr:colOff>104775</xdr:colOff>
      <xdr:row>15</xdr:row>
      <xdr:rowOff>66675</xdr:rowOff>
    </xdr:from>
    <xdr:to>
      <xdr:col>8</xdr:col>
      <xdr:colOff>971550</xdr:colOff>
      <xdr:row>16</xdr:row>
      <xdr:rowOff>9525</xdr:rowOff>
    </xdr:to>
    <xdr:sp macro="" textlink="">
      <xdr:nvSpPr>
        <xdr:cNvPr id="20" name="Left Arrow 19">
          <a:extLst>
            <a:ext uri="{FF2B5EF4-FFF2-40B4-BE49-F238E27FC236}">
              <a16:creationId xmlns:a16="http://schemas.microsoft.com/office/drawing/2014/main" id="{A18B7461-0BD4-4EE3-84D7-DDF5766A5EF7}"/>
            </a:ext>
            <a:ext uri="{147F2762-F138-4A5C-976F-8EAC2B608ADB}">
              <a16:predDERef xmlns:a16="http://schemas.microsoft.com/office/drawing/2014/main" pred="{A9E9178D-7C61-447F-BCC6-F2B72FB761FE}"/>
            </a:ext>
          </a:extLst>
        </xdr:cNvPr>
        <xdr:cNvSpPr/>
      </xdr:nvSpPr>
      <xdr:spPr>
        <a:xfrm>
          <a:off x="11163300" y="3962400"/>
          <a:ext cx="866775" cy="133350"/>
        </a:xfrm>
        <a:prstGeom prst="leftArrow">
          <a:avLst/>
        </a:prstGeom>
        <a:solidFill>
          <a:srgbClr val="FFFF00"/>
        </a:solidFill>
        <a:ln w="12700">
          <a:solidFill>
            <a:srgbClr val="FFFF00"/>
          </a:solidFill>
          <a:prstDash val="solid"/>
        </a:ln>
        <a:effectLst/>
      </xdr:spPr>
      <xdr:style>
        <a:lnRef idx="2">
          <a:schemeClr val="accent1">
            <a:shade val="50000"/>
          </a:schemeClr>
        </a:lnRef>
        <a:fillRef idx="1">
          <a:schemeClr val="accent1"/>
        </a:fillRef>
        <a:effectRef idx="0">
          <a:schemeClr val="accent1"/>
        </a:effectRef>
        <a:fontRef idx="minor">
          <a:srgbClr val="FFFFFF"/>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rgbClr val="FFFFFF"/>
              </a:solidFill>
              <a:latin typeface="+mn-lt"/>
              <a:ea typeface="+mn-ea"/>
              <a:cs typeface="+mn-cs"/>
            </a:defRPr>
          </a:lvl1pPr>
          <a:lvl2pPr marL="457200" indent="0">
            <a:defRPr sz="1100">
              <a:solidFill>
                <a:srgbClr val="FFFFFF"/>
              </a:solidFill>
              <a:latin typeface="+mn-lt"/>
              <a:ea typeface="+mn-ea"/>
              <a:cs typeface="+mn-cs"/>
            </a:defRPr>
          </a:lvl2pPr>
          <a:lvl3pPr marL="914400" indent="0">
            <a:defRPr sz="1100">
              <a:solidFill>
                <a:srgbClr val="FFFFFF"/>
              </a:solidFill>
              <a:latin typeface="+mn-lt"/>
              <a:ea typeface="+mn-ea"/>
              <a:cs typeface="+mn-cs"/>
            </a:defRPr>
          </a:lvl3pPr>
          <a:lvl4pPr marL="1371600" indent="0">
            <a:defRPr sz="1100">
              <a:solidFill>
                <a:srgbClr val="FFFFFF"/>
              </a:solidFill>
              <a:latin typeface="+mn-lt"/>
              <a:ea typeface="+mn-ea"/>
              <a:cs typeface="+mn-cs"/>
            </a:defRPr>
          </a:lvl4pPr>
          <a:lvl5pPr marL="1828800" indent="0">
            <a:defRPr sz="1100">
              <a:solidFill>
                <a:srgbClr val="FFFFFF"/>
              </a:solidFill>
              <a:latin typeface="+mn-lt"/>
              <a:ea typeface="+mn-ea"/>
              <a:cs typeface="+mn-cs"/>
            </a:defRPr>
          </a:lvl5pPr>
          <a:lvl6pPr marL="2286000" indent="0">
            <a:defRPr sz="1100">
              <a:solidFill>
                <a:srgbClr val="FFFFFF"/>
              </a:solidFill>
              <a:latin typeface="+mn-lt"/>
              <a:ea typeface="+mn-ea"/>
              <a:cs typeface="+mn-cs"/>
            </a:defRPr>
          </a:lvl6pPr>
          <a:lvl7pPr marL="2743200" indent="0">
            <a:defRPr sz="1100">
              <a:solidFill>
                <a:srgbClr val="FFFFFF"/>
              </a:solidFill>
              <a:latin typeface="+mn-lt"/>
              <a:ea typeface="+mn-ea"/>
              <a:cs typeface="+mn-cs"/>
            </a:defRPr>
          </a:lvl7pPr>
          <a:lvl8pPr marL="3200400" indent="0">
            <a:defRPr sz="1100">
              <a:solidFill>
                <a:srgbClr val="FFFFFF"/>
              </a:solidFill>
              <a:latin typeface="+mn-lt"/>
              <a:ea typeface="+mn-ea"/>
              <a:cs typeface="+mn-cs"/>
            </a:defRPr>
          </a:lvl8pPr>
          <a:lvl9pPr marL="3657600" indent="0">
            <a:defRPr sz="1100">
              <a:solidFill>
                <a:srgbClr val="FFFFFF"/>
              </a:solidFill>
              <a:latin typeface="+mn-lt"/>
              <a:ea typeface="+mn-ea"/>
              <a:cs typeface="+mn-cs"/>
            </a:defRPr>
          </a:lvl9pPr>
        </a:lstStyle>
        <a:p>
          <a:pPr algn="l"/>
          <a:endParaRPr lang="en-US"/>
        </a:p>
      </xdr:txBody>
    </xdr:sp>
    <xdr:clientData/>
  </xdr:twoCellAnchor>
  <xdr:twoCellAnchor>
    <xdr:from>
      <xdr:col>8</xdr:col>
      <xdr:colOff>95250</xdr:colOff>
      <xdr:row>12</xdr:row>
      <xdr:rowOff>9525</xdr:rowOff>
    </xdr:from>
    <xdr:to>
      <xdr:col>8</xdr:col>
      <xdr:colOff>971550</xdr:colOff>
      <xdr:row>12</xdr:row>
      <xdr:rowOff>152400</xdr:rowOff>
    </xdr:to>
    <xdr:sp macro="" textlink="">
      <xdr:nvSpPr>
        <xdr:cNvPr id="26" name="Left Arrow 25">
          <a:extLst>
            <a:ext uri="{FF2B5EF4-FFF2-40B4-BE49-F238E27FC236}">
              <a16:creationId xmlns:a16="http://schemas.microsoft.com/office/drawing/2014/main" id="{117F47E2-D061-4DCB-A95E-E4258DEFF600}"/>
            </a:ext>
            <a:ext uri="{147F2762-F138-4A5C-976F-8EAC2B608ADB}">
              <a16:predDERef xmlns:a16="http://schemas.microsoft.com/office/drawing/2014/main" pred="{239E2348-8424-45ED-B450-C39C3A494A98}"/>
            </a:ext>
          </a:extLst>
        </xdr:cNvPr>
        <xdr:cNvSpPr/>
      </xdr:nvSpPr>
      <xdr:spPr>
        <a:xfrm>
          <a:off x="11153775" y="3333750"/>
          <a:ext cx="876300" cy="142875"/>
        </a:xfrm>
        <a:prstGeom prst="leftArrow">
          <a:avLst/>
        </a:prstGeom>
        <a:solidFill>
          <a:srgbClr val="FFFF00"/>
        </a:solidFill>
        <a:ln w="12700">
          <a:solidFill>
            <a:srgbClr val="FFFF00"/>
          </a:solidFill>
          <a:prstDash val="solid"/>
        </a:ln>
        <a:effectLst/>
      </xdr:spPr>
      <xdr:style>
        <a:lnRef idx="2">
          <a:schemeClr val="accent1">
            <a:shade val="50000"/>
          </a:schemeClr>
        </a:lnRef>
        <a:fillRef idx="1">
          <a:schemeClr val="accent1"/>
        </a:fillRef>
        <a:effectRef idx="0">
          <a:schemeClr val="accent1"/>
        </a:effectRef>
        <a:fontRef idx="minor">
          <a:srgbClr val="FFFFFF"/>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rgbClr val="FFFFFF"/>
              </a:solidFill>
              <a:latin typeface="+mn-lt"/>
              <a:ea typeface="+mn-ea"/>
              <a:cs typeface="+mn-cs"/>
            </a:defRPr>
          </a:lvl1pPr>
          <a:lvl2pPr marL="457200" indent="0">
            <a:defRPr sz="1100">
              <a:solidFill>
                <a:srgbClr val="FFFFFF"/>
              </a:solidFill>
              <a:latin typeface="+mn-lt"/>
              <a:ea typeface="+mn-ea"/>
              <a:cs typeface="+mn-cs"/>
            </a:defRPr>
          </a:lvl2pPr>
          <a:lvl3pPr marL="914400" indent="0">
            <a:defRPr sz="1100">
              <a:solidFill>
                <a:srgbClr val="FFFFFF"/>
              </a:solidFill>
              <a:latin typeface="+mn-lt"/>
              <a:ea typeface="+mn-ea"/>
              <a:cs typeface="+mn-cs"/>
            </a:defRPr>
          </a:lvl3pPr>
          <a:lvl4pPr marL="1371600" indent="0">
            <a:defRPr sz="1100">
              <a:solidFill>
                <a:srgbClr val="FFFFFF"/>
              </a:solidFill>
              <a:latin typeface="+mn-lt"/>
              <a:ea typeface="+mn-ea"/>
              <a:cs typeface="+mn-cs"/>
            </a:defRPr>
          </a:lvl4pPr>
          <a:lvl5pPr marL="1828800" indent="0">
            <a:defRPr sz="1100">
              <a:solidFill>
                <a:srgbClr val="FFFFFF"/>
              </a:solidFill>
              <a:latin typeface="+mn-lt"/>
              <a:ea typeface="+mn-ea"/>
              <a:cs typeface="+mn-cs"/>
            </a:defRPr>
          </a:lvl5pPr>
          <a:lvl6pPr marL="2286000" indent="0">
            <a:defRPr sz="1100">
              <a:solidFill>
                <a:srgbClr val="FFFFFF"/>
              </a:solidFill>
              <a:latin typeface="+mn-lt"/>
              <a:ea typeface="+mn-ea"/>
              <a:cs typeface="+mn-cs"/>
            </a:defRPr>
          </a:lvl6pPr>
          <a:lvl7pPr marL="2743200" indent="0">
            <a:defRPr sz="1100">
              <a:solidFill>
                <a:srgbClr val="FFFFFF"/>
              </a:solidFill>
              <a:latin typeface="+mn-lt"/>
              <a:ea typeface="+mn-ea"/>
              <a:cs typeface="+mn-cs"/>
            </a:defRPr>
          </a:lvl7pPr>
          <a:lvl8pPr marL="3200400" indent="0">
            <a:defRPr sz="1100">
              <a:solidFill>
                <a:srgbClr val="FFFFFF"/>
              </a:solidFill>
              <a:latin typeface="+mn-lt"/>
              <a:ea typeface="+mn-ea"/>
              <a:cs typeface="+mn-cs"/>
            </a:defRPr>
          </a:lvl8pPr>
          <a:lvl9pPr marL="3657600" indent="0">
            <a:defRPr sz="1100">
              <a:solidFill>
                <a:srgbClr val="FFFFFF"/>
              </a:solidFill>
              <a:latin typeface="+mn-lt"/>
              <a:ea typeface="+mn-ea"/>
              <a:cs typeface="+mn-cs"/>
            </a:defRPr>
          </a:lvl9pPr>
        </a:lstStyle>
        <a:p>
          <a:pPr algn="l"/>
          <a:endParaRPr lang="en-US"/>
        </a:p>
      </xdr:txBody>
    </xdr:sp>
    <xdr:clientData/>
  </xdr:twoCellAnchor>
  <xdr:twoCellAnchor>
    <xdr:from>
      <xdr:col>8</xdr:col>
      <xdr:colOff>114300</xdr:colOff>
      <xdr:row>16</xdr:row>
      <xdr:rowOff>66675</xdr:rowOff>
    </xdr:from>
    <xdr:to>
      <xdr:col>8</xdr:col>
      <xdr:colOff>971550</xdr:colOff>
      <xdr:row>17</xdr:row>
      <xdr:rowOff>0</xdr:rowOff>
    </xdr:to>
    <xdr:sp macro="" textlink="">
      <xdr:nvSpPr>
        <xdr:cNvPr id="27" name="Left Arrow 26">
          <a:extLst>
            <a:ext uri="{FF2B5EF4-FFF2-40B4-BE49-F238E27FC236}">
              <a16:creationId xmlns:a16="http://schemas.microsoft.com/office/drawing/2014/main" id="{2C93EFF1-C3B6-4578-9EDE-EFFE1B82E8E8}"/>
            </a:ext>
            <a:ext uri="{147F2762-F138-4A5C-976F-8EAC2B608ADB}">
              <a16:predDERef xmlns:a16="http://schemas.microsoft.com/office/drawing/2014/main" pred="{117F47E2-D061-4DCB-A95E-E4258DEFF600}"/>
            </a:ext>
          </a:extLst>
        </xdr:cNvPr>
        <xdr:cNvSpPr/>
      </xdr:nvSpPr>
      <xdr:spPr>
        <a:xfrm>
          <a:off x="11172825" y="4152900"/>
          <a:ext cx="857250" cy="123825"/>
        </a:xfrm>
        <a:prstGeom prst="leftArrow">
          <a:avLst/>
        </a:prstGeom>
        <a:solidFill>
          <a:srgbClr val="FFFF00"/>
        </a:solidFill>
        <a:ln w="12700">
          <a:solidFill>
            <a:srgbClr val="FFFF00"/>
          </a:solidFill>
          <a:prstDash val="solid"/>
        </a:ln>
        <a:effectLst/>
      </xdr:spPr>
      <xdr:style>
        <a:lnRef idx="2">
          <a:schemeClr val="accent1">
            <a:shade val="50000"/>
          </a:schemeClr>
        </a:lnRef>
        <a:fillRef idx="1">
          <a:schemeClr val="accent1"/>
        </a:fillRef>
        <a:effectRef idx="0">
          <a:schemeClr val="accent1"/>
        </a:effectRef>
        <a:fontRef idx="minor">
          <a:srgbClr val="FFFFFF"/>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rgbClr val="FFFFFF"/>
              </a:solidFill>
              <a:latin typeface="+mn-lt"/>
              <a:ea typeface="+mn-ea"/>
              <a:cs typeface="+mn-cs"/>
            </a:defRPr>
          </a:lvl1pPr>
          <a:lvl2pPr marL="457200" indent="0">
            <a:defRPr sz="1100">
              <a:solidFill>
                <a:srgbClr val="FFFFFF"/>
              </a:solidFill>
              <a:latin typeface="+mn-lt"/>
              <a:ea typeface="+mn-ea"/>
              <a:cs typeface="+mn-cs"/>
            </a:defRPr>
          </a:lvl2pPr>
          <a:lvl3pPr marL="914400" indent="0">
            <a:defRPr sz="1100">
              <a:solidFill>
                <a:srgbClr val="FFFFFF"/>
              </a:solidFill>
              <a:latin typeface="+mn-lt"/>
              <a:ea typeface="+mn-ea"/>
              <a:cs typeface="+mn-cs"/>
            </a:defRPr>
          </a:lvl3pPr>
          <a:lvl4pPr marL="1371600" indent="0">
            <a:defRPr sz="1100">
              <a:solidFill>
                <a:srgbClr val="FFFFFF"/>
              </a:solidFill>
              <a:latin typeface="+mn-lt"/>
              <a:ea typeface="+mn-ea"/>
              <a:cs typeface="+mn-cs"/>
            </a:defRPr>
          </a:lvl4pPr>
          <a:lvl5pPr marL="1828800" indent="0">
            <a:defRPr sz="1100">
              <a:solidFill>
                <a:srgbClr val="FFFFFF"/>
              </a:solidFill>
              <a:latin typeface="+mn-lt"/>
              <a:ea typeface="+mn-ea"/>
              <a:cs typeface="+mn-cs"/>
            </a:defRPr>
          </a:lvl5pPr>
          <a:lvl6pPr marL="2286000" indent="0">
            <a:defRPr sz="1100">
              <a:solidFill>
                <a:srgbClr val="FFFFFF"/>
              </a:solidFill>
              <a:latin typeface="+mn-lt"/>
              <a:ea typeface="+mn-ea"/>
              <a:cs typeface="+mn-cs"/>
            </a:defRPr>
          </a:lvl6pPr>
          <a:lvl7pPr marL="2743200" indent="0">
            <a:defRPr sz="1100">
              <a:solidFill>
                <a:srgbClr val="FFFFFF"/>
              </a:solidFill>
              <a:latin typeface="+mn-lt"/>
              <a:ea typeface="+mn-ea"/>
              <a:cs typeface="+mn-cs"/>
            </a:defRPr>
          </a:lvl7pPr>
          <a:lvl8pPr marL="3200400" indent="0">
            <a:defRPr sz="1100">
              <a:solidFill>
                <a:srgbClr val="FFFFFF"/>
              </a:solidFill>
              <a:latin typeface="+mn-lt"/>
              <a:ea typeface="+mn-ea"/>
              <a:cs typeface="+mn-cs"/>
            </a:defRPr>
          </a:lvl8pPr>
          <a:lvl9pPr marL="3657600" indent="0">
            <a:defRPr sz="1100">
              <a:solidFill>
                <a:srgbClr val="FFFFFF"/>
              </a:solidFill>
              <a:latin typeface="+mn-lt"/>
              <a:ea typeface="+mn-ea"/>
              <a:cs typeface="+mn-cs"/>
            </a:defRPr>
          </a:lvl9pPr>
        </a:lstStyle>
        <a:p>
          <a:pPr algn="l"/>
          <a:endParaRPr lang="en-US"/>
        </a:p>
      </xdr:txBody>
    </xdr:sp>
    <xdr:clientData/>
  </xdr:twoCellAnchor>
  <xdr:twoCellAnchor>
    <xdr:from>
      <xdr:col>8</xdr:col>
      <xdr:colOff>114300</xdr:colOff>
      <xdr:row>17</xdr:row>
      <xdr:rowOff>47625</xdr:rowOff>
    </xdr:from>
    <xdr:to>
      <xdr:col>8</xdr:col>
      <xdr:colOff>971550</xdr:colOff>
      <xdr:row>17</xdr:row>
      <xdr:rowOff>180975</xdr:rowOff>
    </xdr:to>
    <xdr:sp macro="" textlink="">
      <xdr:nvSpPr>
        <xdr:cNvPr id="28" name="Left Arrow 27">
          <a:extLst>
            <a:ext uri="{FF2B5EF4-FFF2-40B4-BE49-F238E27FC236}">
              <a16:creationId xmlns:a16="http://schemas.microsoft.com/office/drawing/2014/main" id="{894EADF4-0261-4E63-9941-F51C69B39D1E}"/>
            </a:ext>
            <a:ext uri="{147F2762-F138-4A5C-976F-8EAC2B608ADB}">
              <a16:predDERef xmlns:a16="http://schemas.microsoft.com/office/drawing/2014/main" pred="{2C93EFF1-C3B6-4578-9EDE-EFFE1B82E8E8}"/>
            </a:ext>
          </a:extLst>
        </xdr:cNvPr>
        <xdr:cNvSpPr/>
      </xdr:nvSpPr>
      <xdr:spPr>
        <a:xfrm>
          <a:off x="11172825" y="4324350"/>
          <a:ext cx="857250" cy="133350"/>
        </a:xfrm>
        <a:prstGeom prst="leftArrow">
          <a:avLst/>
        </a:prstGeom>
        <a:solidFill>
          <a:srgbClr val="FFFF00"/>
        </a:solidFill>
        <a:ln w="12700">
          <a:solidFill>
            <a:srgbClr val="FFFF00"/>
          </a:solidFill>
          <a:prstDash val="solid"/>
        </a:ln>
        <a:effectLst/>
      </xdr:spPr>
      <xdr:style>
        <a:lnRef idx="2">
          <a:schemeClr val="accent1">
            <a:shade val="50000"/>
          </a:schemeClr>
        </a:lnRef>
        <a:fillRef idx="1">
          <a:schemeClr val="accent1"/>
        </a:fillRef>
        <a:effectRef idx="0">
          <a:schemeClr val="accent1"/>
        </a:effectRef>
        <a:fontRef idx="minor">
          <a:srgbClr val="FFFFFF"/>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rgbClr val="FFFFFF"/>
              </a:solidFill>
              <a:latin typeface="+mn-lt"/>
              <a:ea typeface="+mn-ea"/>
              <a:cs typeface="+mn-cs"/>
            </a:defRPr>
          </a:lvl1pPr>
          <a:lvl2pPr marL="457200" indent="0">
            <a:defRPr sz="1100">
              <a:solidFill>
                <a:srgbClr val="FFFFFF"/>
              </a:solidFill>
              <a:latin typeface="+mn-lt"/>
              <a:ea typeface="+mn-ea"/>
              <a:cs typeface="+mn-cs"/>
            </a:defRPr>
          </a:lvl2pPr>
          <a:lvl3pPr marL="914400" indent="0">
            <a:defRPr sz="1100">
              <a:solidFill>
                <a:srgbClr val="FFFFFF"/>
              </a:solidFill>
              <a:latin typeface="+mn-lt"/>
              <a:ea typeface="+mn-ea"/>
              <a:cs typeface="+mn-cs"/>
            </a:defRPr>
          </a:lvl3pPr>
          <a:lvl4pPr marL="1371600" indent="0">
            <a:defRPr sz="1100">
              <a:solidFill>
                <a:srgbClr val="FFFFFF"/>
              </a:solidFill>
              <a:latin typeface="+mn-lt"/>
              <a:ea typeface="+mn-ea"/>
              <a:cs typeface="+mn-cs"/>
            </a:defRPr>
          </a:lvl4pPr>
          <a:lvl5pPr marL="1828800" indent="0">
            <a:defRPr sz="1100">
              <a:solidFill>
                <a:srgbClr val="FFFFFF"/>
              </a:solidFill>
              <a:latin typeface="+mn-lt"/>
              <a:ea typeface="+mn-ea"/>
              <a:cs typeface="+mn-cs"/>
            </a:defRPr>
          </a:lvl5pPr>
          <a:lvl6pPr marL="2286000" indent="0">
            <a:defRPr sz="1100">
              <a:solidFill>
                <a:srgbClr val="FFFFFF"/>
              </a:solidFill>
              <a:latin typeface="+mn-lt"/>
              <a:ea typeface="+mn-ea"/>
              <a:cs typeface="+mn-cs"/>
            </a:defRPr>
          </a:lvl6pPr>
          <a:lvl7pPr marL="2743200" indent="0">
            <a:defRPr sz="1100">
              <a:solidFill>
                <a:srgbClr val="FFFFFF"/>
              </a:solidFill>
              <a:latin typeface="+mn-lt"/>
              <a:ea typeface="+mn-ea"/>
              <a:cs typeface="+mn-cs"/>
            </a:defRPr>
          </a:lvl7pPr>
          <a:lvl8pPr marL="3200400" indent="0">
            <a:defRPr sz="1100">
              <a:solidFill>
                <a:srgbClr val="FFFFFF"/>
              </a:solidFill>
              <a:latin typeface="+mn-lt"/>
              <a:ea typeface="+mn-ea"/>
              <a:cs typeface="+mn-cs"/>
            </a:defRPr>
          </a:lvl8pPr>
          <a:lvl9pPr marL="3657600" indent="0">
            <a:defRPr sz="1100">
              <a:solidFill>
                <a:srgbClr val="FFFFFF"/>
              </a:solidFill>
              <a:latin typeface="+mn-lt"/>
              <a:ea typeface="+mn-ea"/>
              <a:cs typeface="+mn-cs"/>
            </a:defRPr>
          </a:lvl9pPr>
        </a:lstStyle>
        <a:p>
          <a:pPr algn="l"/>
          <a:endParaRPr lang="en-US"/>
        </a:p>
      </xdr:txBody>
    </xdr:sp>
    <xdr:clientData/>
  </xdr:twoCellAnchor>
  <xdr:twoCellAnchor>
    <xdr:from>
      <xdr:col>8</xdr:col>
      <xdr:colOff>133350</xdr:colOff>
      <xdr:row>19</xdr:row>
      <xdr:rowOff>47625</xdr:rowOff>
    </xdr:from>
    <xdr:to>
      <xdr:col>9</xdr:col>
      <xdr:colOff>9525</xdr:colOff>
      <xdr:row>19</xdr:row>
      <xdr:rowOff>180975</xdr:rowOff>
    </xdr:to>
    <xdr:sp macro="" textlink="">
      <xdr:nvSpPr>
        <xdr:cNvPr id="29" name="Left Arrow 28">
          <a:extLst>
            <a:ext uri="{FF2B5EF4-FFF2-40B4-BE49-F238E27FC236}">
              <a16:creationId xmlns:a16="http://schemas.microsoft.com/office/drawing/2014/main" id="{C442BEF2-4FB7-487B-A1EA-8078D7A78387}"/>
            </a:ext>
            <a:ext uri="{147F2762-F138-4A5C-976F-8EAC2B608ADB}">
              <a16:predDERef xmlns:a16="http://schemas.microsoft.com/office/drawing/2014/main" pred="{894EADF4-0261-4E63-9941-F51C69B39D1E}"/>
            </a:ext>
          </a:extLst>
        </xdr:cNvPr>
        <xdr:cNvSpPr/>
      </xdr:nvSpPr>
      <xdr:spPr>
        <a:xfrm>
          <a:off x="11191875" y="4705350"/>
          <a:ext cx="857250" cy="133350"/>
        </a:xfrm>
        <a:prstGeom prst="leftArrow">
          <a:avLst/>
        </a:prstGeom>
        <a:solidFill>
          <a:srgbClr val="FFFF00"/>
        </a:solidFill>
        <a:ln w="12700">
          <a:solidFill>
            <a:srgbClr val="FFFF00"/>
          </a:solidFill>
          <a:prstDash val="solid"/>
        </a:ln>
        <a:effectLst/>
      </xdr:spPr>
      <xdr:style>
        <a:lnRef idx="2">
          <a:schemeClr val="accent1">
            <a:shade val="50000"/>
          </a:schemeClr>
        </a:lnRef>
        <a:fillRef idx="1">
          <a:schemeClr val="accent1"/>
        </a:fillRef>
        <a:effectRef idx="0">
          <a:schemeClr val="accent1"/>
        </a:effectRef>
        <a:fontRef idx="minor">
          <a:srgbClr val="FFFFFF"/>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rgbClr val="FFFFFF"/>
              </a:solidFill>
              <a:latin typeface="+mn-lt"/>
              <a:ea typeface="+mn-ea"/>
              <a:cs typeface="+mn-cs"/>
            </a:defRPr>
          </a:lvl1pPr>
          <a:lvl2pPr marL="457200" indent="0">
            <a:defRPr sz="1100">
              <a:solidFill>
                <a:srgbClr val="FFFFFF"/>
              </a:solidFill>
              <a:latin typeface="+mn-lt"/>
              <a:ea typeface="+mn-ea"/>
              <a:cs typeface="+mn-cs"/>
            </a:defRPr>
          </a:lvl2pPr>
          <a:lvl3pPr marL="914400" indent="0">
            <a:defRPr sz="1100">
              <a:solidFill>
                <a:srgbClr val="FFFFFF"/>
              </a:solidFill>
              <a:latin typeface="+mn-lt"/>
              <a:ea typeface="+mn-ea"/>
              <a:cs typeface="+mn-cs"/>
            </a:defRPr>
          </a:lvl3pPr>
          <a:lvl4pPr marL="1371600" indent="0">
            <a:defRPr sz="1100">
              <a:solidFill>
                <a:srgbClr val="FFFFFF"/>
              </a:solidFill>
              <a:latin typeface="+mn-lt"/>
              <a:ea typeface="+mn-ea"/>
              <a:cs typeface="+mn-cs"/>
            </a:defRPr>
          </a:lvl4pPr>
          <a:lvl5pPr marL="1828800" indent="0">
            <a:defRPr sz="1100">
              <a:solidFill>
                <a:srgbClr val="FFFFFF"/>
              </a:solidFill>
              <a:latin typeface="+mn-lt"/>
              <a:ea typeface="+mn-ea"/>
              <a:cs typeface="+mn-cs"/>
            </a:defRPr>
          </a:lvl5pPr>
          <a:lvl6pPr marL="2286000" indent="0">
            <a:defRPr sz="1100">
              <a:solidFill>
                <a:srgbClr val="FFFFFF"/>
              </a:solidFill>
              <a:latin typeface="+mn-lt"/>
              <a:ea typeface="+mn-ea"/>
              <a:cs typeface="+mn-cs"/>
            </a:defRPr>
          </a:lvl6pPr>
          <a:lvl7pPr marL="2743200" indent="0">
            <a:defRPr sz="1100">
              <a:solidFill>
                <a:srgbClr val="FFFFFF"/>
              </a:solidFill>
              <a:latin typeface="+mn-lt"/>
              <a:ea typeface="+mn-ea"/>
              <a:cs typeface="+mn-cs"/>
            </a:defRPr>
          </a:lvl7pPr>
          <a:lvl8pPr marL="3200400" indent="0">
            <a:defRPr sz="1100">
              <a:solidFill>
                <a:srgbClr val="FFFFFF"/>
              </a:solidFill>
              <a:latin typeface="+mn-lt"/>
              <a:ea typeface="+mn-ea"/>
              <a:cs typeface="+mn-cs"/>
            </a:defRPr>
          </a:lvl8pPr>
          <a:lvl9pPr marL="3657600" indent="0">
            <a:defRPr sz="1100">
              <a:solidFill>
                <a:srgbClr val="FFFFFF"/>
              </a:solidFill>
              <a:latin typeface="+mn-lt"/>
              <a:ea typeface="+mn-ea"/>
              <a:cs typeface="+mn-cs"/>
            </a:defRPr>
          </a:lvl9pPr>
        </a:lstStyle>
        <a:p>
          <a:pPr algn="l"/>
          <a:endParaRPr lang="en-US"/>
        </a:p>
      </xdr:txBody>
    </xdr:sp>
    <xdr:clientData/>
  </xdr:twoCellAnchor>
  <xdr:twoCellAnchor>
    <xdr:from>
      <xdr:col>8</xdr:col>
      <xdr:colOff>133350</xdr:colOff>
      <xdr:row>20</xdr:row>
      <xdr:rowOff>57150</xdr:rowOff>
    </xdr:from>
    <xdr:to>
      <xdr:col>9</xdr:col>
      <xdr:colOff>9525</xdr:colOff>
      <xdr:row>20</xdr:row>
      <xdr:rowOff>180975</xdr:rowOff>
    </xdr:to>
    <xdr:sp macro="" textlink="">
      <xdr:nvSpPr>
        <xdr:cNvPr id="30" name="Left Arrow 29">
          <a:extLst>
            <a:ext uri="{FF2B5EF4-FFF2-40B4-BE49-F238E27FC236}">
              <a16:creationId xmlns:a16="http://schemas.microsoft.com/office/drawing/2014/main" id="{D6CC9E10-AE61-4F6C-B77F-8AEF43364FAE}"/>
            </a:ext>
            <a:ext uri="{147F2762-F138-4A5C-976F-8EAC2B608ADB}">
              <a16:predDERef xmlns:a16="http://schemas.microsoft.com/office/drawing/2014/main" pred="{C442BEF2-4FB7-487B-A1EA-8078D7A78387}"/>
            </a:ext>
          </a:extLst>
        </xdr:cNvPr>
        <xdr:cNvSpPr/>
      </xdr:nvSpPr>
      <xdr:spPr>
        <a:xfrm>
          <a:off x="11191875" y="4905375"/>
          <a:ext cx="857250" cy="123825"/>
        </a:xfrm>
        <a:prstGeom prst="leftArrow">
          <a:avLst/>
        </a:prstGeom>
        <a:solidFill>
          <a:srgbClr val="FFFF00"/>
        </a:solidFill>
        <a:ln w="12700">
          <a:solidFill>
            <a:srgbClr val="FFFF00"/>
          </a:solidFill>
          <a:prstDash val="solid"/>
        </a:ln>
        <a:effectLst/>
      </xdr:spPr>
      <xdr:style>
        <a:lnRef idx="2">
          <a:schemeClr val="accent1">
            <a:shade val="50000"/>
          </a:schemeClr>
        </a:lnRef>
        <a:fillRef idx="1">
          <a:schemeClr val="accent1"/>
        </a:fillRef>
        <a:effectRef idx="0">
          <a:schemeClr val="accent1"/>
        </a:effectRef>
        <a:fontRef idx="minor">
          <a:srgbClr val="FFFFFF"/>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rgbClr val="FFFFFF"/>
              </a:solidFill>
              <a:latin typeface="+mn-lt"/>
              <a:ea typeface="+mn-ea"/>
              <a:cs typeface="+mn-cs"/>
            </a:defRPr>
          </a:lvl1pPr>
          <a:lvl2pPr marL="457200" indent="0">
            <a:defRPr sz="1100">
              <a:solidFill>
                <a:srgbClr val="FFFFFF"/>
              </a:solidFill>
              <a:latin typeface="+mn-lt"/>
              <a:ea typeface="+mn-ea"/>
              <a:cs typeface="+mn-cs"/>
            </a:defRPr>
          </a:lvl2pPr>
          <a:lvl3pPr marL="914400" indent="0">
            <a:defRPr sz="1100">
              <a:solidFill>
                <a:srgbClr val="FFFFFF"/>
              </a:solidFill>
              <a:latin typeface="+mn-lt"/>
              <a:ea typeface="+mn-ea"/>
              <a:cs typeface="+mn-cs"/>
            </a:defRPr>
          </a:lvl3pPr>
          <a:lvl4pPr marL="1371600" indent="0">
            <a:defRPr sz="1100">
              <a:solidFill>
                <a:srgbClr val="FFFFFF"/>
              </a:solidFill>
              <a:latin typeface="+mn-lt"/>
              <a:ea typeface="+mn-ea"/>
              <a:cs typeface="+mn-cs"/>
            </a:defRPr>
          </a:lvl4pPr>
          <a:lvl5pPr marL="1828800" indent="0">
            <a:defRPr sz="1100">
              <a:solidFill>
                <a:srgbClr val="FFFFFF"/>
              </a:solidFill>
              <a:latin typeface="+mn-lt"/>
              <a:ea typeface="+mn-ea"/>
              <a:cs typeface="+mn-cs"/>
            </a:defRPr>
          </a:lvl5pPr>
          <a:lvl6pPr marL="2286000" indent="0">
            <a:defRPr sz="1100">
              <a:solidFill>
                <a:srgbClr val="FFFFFF"/>
              </a:solidFill>
              <a:latin typeface="+mn-lt"/>
              <a:ea typeface="+mn-ea"/>
              <a:cs typeface="+mn-cs"/>
            </a:defRPr>
          </a:lvl6pPr>
          <a:lvl7pPr marL="2743200" indent="0">
            <a:defRPr sz="1100">
              <a:solidFill>
                <a:srgbClr val="FFFFFF"/>
              </a:solidFill>
              <a:latin typeface="+mn-lt"/>
              <a:ea typeface="+mn-ea"/>
              <a:cs typeface="+mn-cs"/>
            </a:defRPr>
          </a:lvl7pPr>
          <a:lvl8pPr marL="3200400" indent="0">
            <a:defRPr sz="1100">
              <a:solidFill>
                <a:srgbClr val="FFFFFF"/>
              </a:solidFill>
              <a:latin typeface="+mn-lt"/>
              <a:ea typeface="+mn-ea"/>
              <a:cs typeface="+mn-cs"/>
            </a:defRPr>
          </a:lvl8pPr>
          <a:lvl9pPr marL="3657600" indent="0">
            <a:defRPr sz="1100">
              <a:solidFill>
                <a:srgbClr val="FFFFFF"/>
              </a:solidFill>
              <a:latin typeface="+mn-lt"/>
              <a:ea typeface="+mn-ea"/>
              <a:cs typeface="+mn-cs"/>
            </a:defRPr>
          </a:lvl9pPr>
        </a:lstStyle>
        <a:p>
          <a:pPr algn="l"/>
          <a:endParaRPr lang="en-US"/>
        </a:p>
      </xdr:txBody>
    </xdr:sp>
    <xdr:clientData/>
  </xdr:twoCellAnchor>
  <xdr:twoCellAnchor>
    <xdr:from>
      <xdr:col>8</xdr:col>
      <xdr:colOff>123825</xdr:colOff>
      <xdr:row>18</xdr:row>
      <xdr:rowOff>47625</xdr:rowOff>
    </xdr:from>
    <xdr:to>
      <xdr:col>9</xdr:col>
      <xdr:colOff>0</xdr:colOff>
      <xdr:row>18</xdr:row>
      <xdr:rowOff>180975</xdr:rowOff>
    </xdr:to>
    <xdr:sp macro="" textlink="">
      <xdr:nvSpPr>
        <xdr:cNvPr id="31" name="Left Arrow 30">
          <a:extLst>
            <a:ext uri="{FF2B5EF4-FFF2-40B4-BE49-F238E27FC236}">
              <a16:creationId xmlns:a16="http://schemas.microsoft.com/office/drawing/2014/main" id="{AAE58116-8FAA-4363-9F4C-55179327A296}"/>
            </a:ext>
            <a:ext uri="{147F2762-F138-4A5C-976F-8EAC2B608ADB}">
              <a16:predDERef xmlns:a16="http://schemas.microsoft.com/office/drawing/2014/main" pred="{D6CC9E10-AE61-4F6C-B77F-8AEF43364FAE}"/>
            </a:ext>
          </a:extLst>
        </xdr:cNvPr>
        <xdr:cNvSpPr/>
      </xdr:nvSpPr>
      <xdr:spPr>
        <a:xfrm>
          <a:off x="11182350" y="4514850"/>
          <a:ext cx="857250" cy="133350"/>
        </a:xfrm>
        <a:prstGeom prst="leftArrow">
          <a:avLst/>
        </a:prstGeom>
        <a:solidFill>
          <a:srgbClr val="FFFF00"/>
        </a:solidFill>
        <a:ln w="12700">
          <a:solidFill>
            <a:srgbClr val="FFFF00"/>
          </a:solidFill>
          <a:prstDash val="solid"/>
        </a:ln>
        <a:effectLst/>
      </xdr:spPr>
      <xdr:style>
        <a:lnRef idx="2">
          <a:schemeClr val="accent1">
            <a:shade val="50000"/>
          </a:schemeClr>
        </a:lnRef>
        <a:fillRef idx="1">
          <a:schemeClr val="accent1"/>
        </a:fillRef>
        <a:effectRef idx="0">
          <a:schemeClr val="accent1"/>
        </a:effectRef>
        <a:fontRef idx="minor">
          <a:srgbClr val="FFFFFF"/>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rgbClr val="FFFFFF"/>
              </a:solidFill>
              <a:latin typeface="+mn-lt"/>
              <a:ea typeface="+mn-ea"/>
              <a:cs typeface="+mn-cs"/>
            </a:defRPr>
          </a:lvl1pPr>
          <a:lvl2pPr marL="457200" indent="0">
            <a:defRPr sz="1100">
              <a:solidFill>
                <a:srgbClr val="FFFFFF"/>
              </a:solidFill>
              <a:latin typeface="+mn-lt"/>
              <a:ea typeface="+mn-ea"/>
              <a:cs typeface="+mn-cs"/>
            </a:defRPr>
          </a:lvl2pPr>
          <a:lvl3pPr marL="914400" indent="0">
            <a:defRPr sz="1100">
              <a:solidFill>
                <a:srgbClr val="FFFFFF"/>
              </a:solidFill>
              <a:latin typeface="+mn-lt"/>
              <a:ea typeface="+mn-ea"/>
              <a:cs typeface="+mn-cs"/>
            </a:defRPr>
          </a:lvl3pPr>
          <a:lvl4pPr marL="1371600" indent="0">
            <a:defRPr sz="1100">
              <a:solidFill>
                <a:srgbClr val="FFFFFF"/>
              </a:solidFill>
              <a:latin typeface="+mn-lt"/>
              <a:ea typeface="+mn-ea"/>
              <a:cs typeface="+mn-cs"/>
            </a:defRPr>
          </a:lvl4pPr>
          <a:lvl5pPr marL="1828800" indent="0">
            <a:defRPr sz="1100">
              <a:solidFill>
                <a:srgbClr val="FFFFFF"/>
              </a:solidFill>
              <a:latin typeface="+mn-lt"/>
              <a:ea typeface="+mn-ea"/>
              <a:cs typeface="+mn-cs"/>
            </a:defRPr>
          </a:lvl5pPr>
          <a:lvl6pPr marL="2286000" indent="0">
            <a:defRPr sz="1100">
              <a:solidFill>
                <a:srgbClr val="FFFFFF"/>
              </a:solidFill>
              <a:latin typeface="+mn-lt"/>
              <a:ea typeface="+mn-ea"/>
              <a:cs typeface="+mn-cs"/>
            </a:defRPr>
          </a:lvl6pPr>
          <a:lvl7pPr marL="2743200" indent="0">
            <a:defRPr sz="1100">
              <a:solidFill>
                <a:srgbClr val="FFFFFF"/>
              </a:solidFill>
              <a:latin typeface="+mn-lt"/>
              <a:ea typeface="+mn-ea"/>
              <a:cs typeface="+mn-cs"/>
            </a:defRPr>
          </a:lvl7pPr>
          <a:lvl8pPr marL="3200400" indent="0">
            <a:defRPr sz="1100">
              <a:solidFill>
                <a:srgbClr val="FFFFFF"/>
              </a:solidFill>
              <a:latin typeface="+mn-lt"/>
              <a:ea typeface="+mn-ea"/>
              <a:cs typeface="+mn-cs"/>
            </a:defRPr>
          </a:lvl8pPr>
          <a:lvl9pPr marL="3657600" indent="0">
            <a:defRPr sz="1100">
              <a:solidFill>
                <a:srgbClr val="FFFFFF"/>
              </a:solidFill>
              <a:latin typeface="+mn-lt"/>
              <a:ea typeface="+mn-ea"/>
              <a:cs typeface="+mn-cs"/>
            </a:defRPr>
          </a:lvl9pPr>
        </a:lstStyle>
        <a:p>
          <a:pPr algn="l"/>
          <a:endParaRPr lang="en-US"/>
        </a:p>
      </xdr:txBody>
    </xdr:sp>
    <xdr:clientData/>
  </xdr:twoCellAnchor>
  <xdr:twoCellAnchor>
    <xdr:from>
      <xdr:col>8</xdr:col>
      <xdr:colOff>95250</xdr:colOff>
      <xdr:row>13</xdr:row>
      <xdr:rowOff>104775</xdr:rowOff>
    </xdr:from>
    <xdr:to>
      <xdr:col>8</xdr:col>
      <xdr:colOff>800100</xdr:colOff>
      <xdr:row>14</xdr:row>
      <xdr:rowOff>47625</xdr:rowOff>
    </xdr:to>
    <xdr:sp macro="" textlink="">
      <xdr:nvSpPr>
        <xdr:cNvPr id="32" name="Left Arrow 31">
          <a:extLst>
            <a:ext uri="{FF2B5EF4-FFF2-40B4-BE49-F238E27FC236}">
              <a16:creationId xmlns:a16="http://schemas.microsoft.com/office/drawing/2014/main" id="{38005FB8-1438-4480-93BF-AA5EA9C5C466}"/>
            </a:ext>
            <a:ext uri="{147F2762-F138-4A5C-976F-8EAC2B608ADB}">
              <a16:predDERef xmlns:a16="http://schemas.microsoft.com/office/drawing/2014/main" pred="{AAE58116-8FAA-4363-9F4C-55179327A296}"/>
            </a:ext>
          </a:extLst>
        </xdr:cNvPr>
        <xdr:cNvSpPr/>
      </xdr:nvSpPr>
      <xdr:spPr>
        <a:xfrm>
          <a:off x="11153775" y="3619500"/>
          <a:ext cx="704850" cy="133350"/>
        </a:xfrm>
        <a:prstGeom prst="leftArrow">
          <a:avLst/>
        </a:prstGeom>
        <a:solidFill>
          <a:srgbClr val="FFFF00"/>
        </a:solidFill>
        <a:ln w="12700">
          <a:solidFill>
            <a:srgbClr val="FFFF00"/>
          </a:solidFill>
          <a:prstDash val="solid"/>
        </a:ln>
        <a:effectLst/>
      </xdr:spPr>
      <xdr:style>
        <a:lnRef idx="2">
          <a:schemeClr val="accent1">
            <a:shade val="50000"/>
          </a:schemeClr>
        </a:lnRef>
        <a:fillRef idx="1">
          <a:schemeClr val="accent1"/>
        </a:fillRef>
        <a:effectRef idx="0">
          <a:schemeClr val="accent1"/>
        </a:effectRef>
        <a:fontRef idx="minor">
          <a:srgbClr val="FFFFFF"/>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rgbClr val="FFFFFF"/>
              </a:solidFill>
              <a:latin typeface="+mn-lt"/>
              <a:ea typeface="+mn-ea"/>
              <a:cs typeface="+mn-cs"/>
            </a:defRPr>
          </a:lvl1pPr>
          <a:lvl2pPr marL="457200" indent="0">
            <a:defRPr sz="1100">
              <a:solidFill>
                <a:srgbClr val="FFFFFF"/>
              </a:solidFill>
              <a:latin typeface="+mn-lt"/>
              <a:ea typeface="+mn-ea"/>
              <a:cs typeface="+mn-cs"/>
            </a:defRPr>
          </a:lvl2pPr>
          <a:lvl3pPr marL="914400" indent="0">
            <a:defRPr sz="1100">
              <a:solidFill>
                <a:srgbClr val="FFFFFF"/>
              </a:solidFill>
              <a:latin typeface="+mn-lt"/>
              <a:ea typeface="+mn-ea"/>
              <a:cs typeface="+mn-cs"/>
            </a:defRPr>
          </a:lvl3pPr>
          <a:lvl4pPr marL="1371600" indent="0">
            <a:defRPr sz="1100">
              <a:solidFill>
                <a:srgbClr val="FFFFFF"/>
              </a:solidFill>
              <a:latin typeface="+mn-lt"/>
              <a:ea typeface="+mn-ea"/>
              <a:cs typeface="+mn-cs"/>
            </a:defRPr>
          </a:lvl4pPr>
          <a:lvl5pPr marL="1828800" indent="0">
            <a:defRPr sz="1100">
              <a:solidFill>
                <a:srgbClr val="FFFFFF"/>
              </a:solidFill>
              <a:latin typeface="+mn-lt"/>
              <a:ea typeface="+mn-ea"/>
              <a:cs typeface="+mn-cs"/>
            </a:defRPr>
          </a:lvl5pPr>
          <a:lvl6pPr marL="2286000" indent="0">
            <a:defRPr sz="1100">
              <a:solidFill>
                <a:srgbClr val="FFFFFF"/>
              </a:solidFill>
              <a:latin typeface="+mn-lt"/>
              <a:ea typeface="+mn-ea"/>
              <a:cs typeface="+mn-cs"/>
            </a:defRPr>
          </a:lvl6pPr>
          <a:lvl7pPr marL="2743200" indent="0">
            <a:defRPr sz="1100">
              <a:solidFill>
                <a:srgbClr val="FFFFFF"/>
              </a:solidFill>
              <a:latin typeface="+mn-lt"/>
              <a:ea typeface="+mn-ea"/>
              <a:cs typeface="+mn-cs"/>
            </a:defRPr>
          </a:lvl7pPr>
          <a:lvl8pPr marL="3200400" indent="0">
            <a:defRPr sz="1100">
              <a:solidFill>
                <a:srgbClr val="FFFFFF"/>
              </a:solidFill>
              <a:latin typeface="+mn-lt"/>
              <a:ea typeface="+mn-ea"/>
              <a:cs typeface="+mn-cs"/>
            </a:defRPr>
          </a:lvl8pPr>
          <a:lvl9pPr marL="3657600" indent="0">
            <a:defRPr sz="1100">
              <a:solidFill>
                <a:srgbClr val="FFFFFF"/>
              </a:solidFill>
              <a:latin typeface="+mn-lt"/>
              <a:ea typeface="+mn-ea"/>
              <a:cs typeface="+mn-cs"/>
            </a:defRPr>
          </a:lvl9pPr>
        </a:lstStyle>
        <a:p>
          <a:pPr algn="l"/>
          <a:endParaRPr lang="en-US"/>
        </a:p>
      </xdr:txBody>
    </xdr:sp>
    <xdr:clientData/>
  </xdr:twoCellAnchor>
  <xdr:twoCellAnchor editAs="oneCell">
    <xdr:from>
      <xdr:col>6</xdr:col>
      <xdr:colOff>1054552</xdr:colOff>
      <xdr:row>1</xdr:row>
      <xdr:rowOff>34019</xdr:rowOff>
    </xdr:from>
    <xdr:to>
      <xdr:col>8</xdr:col>
      <xdr:colOff>187098</xdr:colOff>
      <xdr:row>6</xdr:row>
      <xdr:rowOff>150082</xdr:rowOff>
    </xdr:to>
    <xdr:pic>
      <xdr:nvPicPr>
        <xdr:cNvPr id="3" name="Imagen 2">
          <a:extLst>
            <a:ext uri="{FF2B5EF4-FFF2-40B4-BE49-F238E27FC236}">
              <a16:creationId xmlns:a16="http://schemas.microsoft.com/office/drawing/2014/main" id="{1A2EE162-D55D-44FD-B6BF-7B4152F39402}"/>
            </a:ext>
          </a:extLst>
        </xdr:cNvPr>
        <xdr:cNvPicPr>
          <a:picLocks noChangeAspect="1"/>
        </xdr:cNvPicPr>
      </xdr:nvPicPr>
      <xdr:blipFill>
        <a:blip xmlns:r="http://schemas.openxmlformats.org/officeDocument/2006/relationships" r:embed="rId1"/>
        <a:stretch>
          <a:fillRect/>
        </a:stretch>
      </xdr:blipFill>
      <xdr:spPr>
        <a:xfrm>
          <a:off x="8657543" y="204108"/>
          <a:ext cx="2585359" cy="17489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876300</xdr:colOff>
      <xdr:row>0</xdr:row>
      <xdr:rowOff>0</xdr:rowOff>
    </xdr:from>
    <xdr:to>
      <xdr:col>7</xdr:col>
      <xdr:colOff>247650</xdr:colOff>
      <xdr:row>4</xdr:row>
      <xdr:rowOff>3175</xdr:rowOff>
    </xdr:to>
    <xdr:pic>
      <xdr:nvPicPr>
        <xdr:cNvPr id="2" name="Picture 1">
          <a:extLst>
            <a:ext uri="{FF2B5EF4-FFF2-40B4-BE49-F238E27FC236}">
              <a16:creationId xmlns:a16="http://schemas.microsoft.com/office/drawing/2014/main" id="{F1D5BA79-5906-4164-8D22-7C9170AD00B9}"/>
            </a:ext>
          </a:extLst>
        </xdr:cNvPr>
        <xdr:cNvPicPr>
          <a:picLocks noChangeAspect="1"/>
        </xdr:cNvPicPr>
      </xdr:nvPicPr>
      <xdr:blipFill>
        <a:blip xmlns:r="http://schemas.openxmlformats.org/officeDocument/2006/relationships" r:embed="rId1"/>
        <a:stretch>
          <a:fillRect/>
        </a:stretch>
      </xdr:blipFill>
      <xdr:spPr>
        <a:xfrm>
          <a:off x="7162800" y="0"/>
          <a:ext cx="990600" cy="1041400"/>
        </a:xfrm>
        <a:prstGeom prst="rect">
          <a:avLst/>
        </a:prstGeom>
      </xdr:spPr>
    </xdr:pic>
    <xdr:clientData/>
  </xdr:twoCellAnchor>
  <xdr:twoCellAnchor>
    <xdr:from>
      <xdr:col>10</xdr:col>
      <xdr:colOff>657225</xdr:colOff>
      <xdr:row>17</xdr:row>
      <xdr:rowOff>76200</xdr:rowOff>
    </xdr:from>
    <xdr:to>
      <xdr:col>11</xdr:col>
      <xdr:colOff>0</xdr:colOff>
      <xdr:row>19</xdr:row>
      <xdr:rowOff>533400</xdr:rowOff>
    </xdr:to>
    <xdr:sp macro="" textlink="">
      <xdr:nvSpPr>
        <xdr:cNvPr id="3" name="Bent-Up Arrow 2">
          <a:extLst>
            <a:ext uri="{FF2B5EF4-FFF2-40B4-BE49-F238E27FC236}">
              <a16:creationId xmlns:a16="http://schemas.microsoft.com/office/drawing/2014/main" id="{01384016-6833-4236-BA75-A8D2A166EE7C}"/>
            </a:ext>
            <a:ext uri="{147F2762-F138-4A5C-976F-8EAC2B608ADB}">
              <a16:predDERef xmlns:a16="http://schemas.microsoft.com/office/drawing/2014/main" pred="{F1D5BA79-5906-4164-8D22-7C9170AD00B9}"/>
            </a:ext>
          </a:extLst>
        </xdr:cNvPr>
        <xdr:cNvSpPr/>
      </xdr:nvSpPr>
      <xdr:spPr>
        <a:xfrm flipH="1">
          <a:off x="13382625" y="3829050"/>
          <a:ext cx="733425" cy="723900"/>
        </a:xfrm>
        <a:prstGeom prst="bentUpArrow">
          <a:avLst/>
        </a:prstGeom>
        <a:solidFill>
          <a:srgbClr val="8EA9DB"/>
        </a:solidFill>
        <a:ln>
          <a:solidFill>
            <a:srgbClr val="8EA9D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xdr:txBody>
    </xdr:sp>
    <xdr:clientData/>
  </xdr:twoCellAnchor>
  <xdr:twoCellAnchor>
    <xdr:from>
      <xdr:col>11</xdr:col>
      <xdr:colOff>752475</xdr:colOff>
      <xdr:row>1</xdr:row>
      <xdr:rowOff>123825</xdr:rowOff>
    </xdr:from>
    <xdr:to>
      <xdr:col>12</xdr:col>
      <xdr:colOff>752475</xdr:colOff>
      <xdr:row>3</xdr:row>
      <xdr:rowOff>133350</xdr:rowOff>
    </xdr:to>
    <xdr:sp macro="" textlink="">
      <xdr:nvSpPr>
        <xdr:cNvPr id="4" name="Bent-Up Arrow 3">
          <a:extLst>
            <a:ext uri="{FF2B5EF4-FFF2-40B4-BE49-F238E27FC236}">
              <a16:creationId xmlns:a16="http://schemas.microsoft.com/office/drawing/2014/main" id="{F745A97C-E427-4847-9C29-C2FED2B9700D}"/>
            </a:ext>
            <a:ext uri="{147F2762-F138-4A5C-976F-8EAC2B608ADB}">
              <a16:predDERef xmlns:a16="http://schemas.microsoft.com/office/drawing/2014/main" pred="{01384016-6833-4236-BA75-A8D2A166EE7C}"/>
            </a:ext>
          </a:extLst>
        </xdr:cNvPr>
        <xdr:cNvSpPr/>
      </xdr:nvSpPr>
      <xdr:spPr>
        <a:xfrm flipH="1" flipV="1">
          <a:off x="14868525" y="485775"/>
          <a:ext cx="1800225" cy="447675"/>
        </a:xfrm>
        <a:prstGeom prst="bentUpArrow">
          <a:avLst/>
        </a:prstGeom>
        <a:solidFill>
          <a:srgbClr val="8EA9DB"/>
        </a:solidFill>
        <a:ln>
          <a:solidFill>
            <a:srgbClr val="8EA9D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a:p>
      </xdr:txBody>
    </xdr:sp>
    <xdr:clientData/>
  </xdr:twoCellAnchor>
  <xdr:twoCellAnchor>
    <xdr:from>
      <xdr:col>7</xdr:col>
      <xdr:colOff>552450</xdr:colOff>
      <xdr:row>20</xdr:row>
      <xdr:rowOff>190500</xdr:rowOff>
    </xdr:from>
    <xdr:to>
      <xdr:col>7</xdr:col>
      <xdr:colOff>1381125</xdr:colOff>
      <xdr:row>22</xdr:row>
      <xdr:rowOff>152400</xdr:rowOff>
    </xdr:to>
    <xdr:sp macro="" textlink="">
      <xdr:nvSpPr>
        <xdr:cNvPr id="5" name="Bent-Up Arrow 4">
          <a:extLst>
            <a:ext uri="{FF2B5EF4-FFF2-40B4-BE49-F238E27FC236}">
              <a16:creationId xmlns:a16="http://schemas.microsoft.com/office/drawing/2014/main" id="{F07B7987-1199-4BCF-8DD6-CC5EE4226289}"/>
            </a:ext>
            <a:ext uri="{147F2762-F138-4A5C-976F-8EAC2B608ADB}">
              <a16:predDERef xmlns:a16="http://schemas.microsoft.com/office/drawing/2014/main" pred="{F745A97C-E427-4847-9C29-C2FED2B9700D}"/>
            </a:ext>
          </a:extLst>
        </xdr:cNvPr>
        <xdr:cNvSpPr/>
      </xdr:nvSpPr>
      <xdr:spPr>
        <a:xfrm flipH="1">
          <a:off x="9782175" y="4467225"/>
          <a:ext cx="828675" cy="447675"/>
        </a:xfrm>
        <a:prstGeom prst="bentUpArrow">
          <a:avLst/>
        </a:prstGeom>
        <a:solidFill>
          <a:srgbClr val="F8CBAD"/>
        </a:solidFill>
        <a:ln>
          <a:solidFill>
            <a:srgbClr val="F8CBAD"/>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a:p>
      </xdr:txBody>
    </xdr:sp>
    <xdr:clientData/>
  </xdr:twoCellAnchor>
  <xdr:twoCellAnchor>
    <xdr:from>
      <xdr:col>4</xdr:col>
      <xdr:colOff>257175</xdr:colOff>
      <xdr:row>21</xdr:row>
      <xdr:rowOff>85725</xdr:rowOff>
    </xdr:from>
    <xdr:to>
      <xdr:col>5</xdr:col>
      <xdr:colOff>0</xdr:colOff>
      <xdr:row>23</xdr:row>
      <xdr:rowOff>28575</xdr:rowOff>
    </xdr:to>
    <xdr:sp macro="" textlink="">
      <xdr:nvSpPr>
        <xdr:cNvPr id="6" name="Left Arrow 5">
          <a:extLst>
            <a:ext uri="{FF2B5EF4-FFF2-40B4-BE49-F238E27FC236}">
              <a16:creationId xmlns:a16="http://schemas.microsoft.com/office/drawing/2014/main" id="{CBA7EAE2-5978-4DEB-AA6C-DFA61308A99D}"/>
            </a:ext>
            <a:ext uri="{147F2762-F138-4A5C-976F-8EAC2B608ADB}">
              <a16:predDERef xmlns:a16="http://schemas.microsoft.com/office/drawing/2014/main" pred="{F07B7987-1199-4BCF-8DD6-CC5EE4226289}"/>
            </a:ext>
          </a:extLst>
        </xdr:cNvPr>
        <xdr:cNvSpPr/>
      </xdr:nvSpPr>
      <xdr:spPr>
        <a:xfrm>
          <a:off x="4791075" y="4686300"/>
          <a:ext cx="1019175" cy="266700"/>
        </a:xfrm>
        <a:prstGeom prst="leftArrow">
          <a:avLst/>
        </a:prstGeom>
        <a:solidFill>
          <a:srgbClr val="C6E0B4"/>
        </a:solidFill>
        <a:ln>
          <a:solidFill>
            <a:srgbClr val="C6E0B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xdr:txBody>
    </xdr:sp>
    <xdr:clientData/>
  </xdr:twoCellAnchor>
  <xdr:twoCellAnchor>
    <xdr:from>
      <xdr:col>1</xdr:col>
      <xdr:colOff>519113</xdr:colOff>
      <xdr:row>18</xdr:row>
      <xdr:rowOff>14287</xdr:rowOff>
    </xdr:from>
    <xdr:to>
      <xdr:col>1</xdr:col>
      <xdr:colOff>785813</xdr:colOff>
      <xdr:row>27</xdr:row>
      <xdr:rowOff>61912</xdr:rowOff>
    </xdr:to>
    <xdr:sp macro="" textlink="">
      <xdr:nvSpPr>
        <xdr:cNvPr id="7" name="Left Arrow 6">
          <a:extLst>
            <a:ext uri="{FF2B5EF4-FFF2-40B4-BE49-F238E27FC236}">
              <a16:creationId xmlns:a16="http://schemas.microsoft.com/office/drawing/2014/main" id="{76E679B9-809D-48DF-98E9-5535E76E5F0D}"/>
            </a:ext>
            <a:ext uri="{147F2762-F138-4A5C-976F-8EAC2B608ADB}">
              <a16:predDERef xmlns:a16="http://schemas.microsoft.com/office/drawing/2014/main" pred="{CBA7EAE2-5978-4DEB-AA6C-DFA61308A99D}"/>
            </a:ext>
          </a:extLst>
        </xdr:cNvPr>
        <xdr:cNvSpPr/>
      </xdr:nvSpPr>
      <xdr:spPr>
        <a:xfrm rot="5400000">
          <a:off x="0" y="4619625"/>
          <a:ext cx="1762125" cy="266700"/>
        </a:xfrm>
        <a:prstGeom prst="leftArrow">
          <a:avLst/>
        </a:prstGeom>
        <a:solidFill>
          <a:srgbClr val="FFF2CC"/>
        </a:solidFill>
        <a:ln>
          <a:solidFill>
            <a:srgbClr val="FFF2CC"/>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857250</xdr:colOff>
      <xdr:row>5</xdr:row>
      <xdr:rowOff>76200</xdr:rowOff>
    </xdr:from>
    <xdr:to>
      <xdr:col>1</xdr:col>
      <xdr:colOff>1647825</xdr:colOff>
      <xdr:row>9</xdr:row>
      <xdr:rowOff>47625</xdr:rowOff>
    </xdr:to>
    <xdr:pic>
      <xdr:nvPicPr>
        <xdr:cNvPr id="2" name="Picture 1">
          <a:extLst>
            <a:ext uri="{FF2B5EF4-FFF2-40B4-BE49-F238E27FC236}">
              <a16:creationId xmlns:a16="http://schemas.microsoft.com/office/drawing/2014/main" id="{AB4E0401-D5FB-4B18-8D3B-0851F7E71D00}"/>
            </a:ext>
          </a:extLst>
        </xdr:cNvPr>
        <xdr:cNvPicPr>
          <a:picLocks noChangeAspect="1"/>
        </xdr:cNvPicPr>
      </xdr:nvPicPr>
      <xdr:blipFill>
        <a:blip xmlns:r="http://schemas.openxmlformats.org/officeDocument/2006/relationships" r:embed="rId1"/>
        <a:stretch>
          <a:fillRect/>
        </a:stretch>
      </xdr:blipFill>
      <xdr:spPr>
        <a:xfrm>
          <a:off x="1466850" y="1476375"/>
          <a:ext cx="790575" cy="762000"/>
        </a:xfrm>
        <a:prstGeom prst="rect">
          <a:avLst/>
        </a:prstGeom>
      </xdr:spPr>
    </xdr:pic>
    <xdr:clientData/>
  </xdr:twoCellAnchor>
  <xdr:twoCellAnchor>
    <xdr:from>
      <xdr:col>18</xdr:col>
      <xdr:colOff>171450</xdr:colOff>
      <xdr:row>24</xdr:row>
      <xdr:rowOff>9525</xdr:rowOff>
    </xdr:from>
    <xdr:to>
      <xdr:col>20</xdr:col>
      <xdr:colOff>47625</xdr:colOff>
      <xdr:row>25</xdr:row>
      <xdr:rowOff>85725</xdr:rowOff>
    </xdr:to>
    <xdr:sp macro="" textlink="">
      <xdr:nvSpPr>
        <xdr:cNvPr id="3" name="Left Arrow 2">
          <a:extLst>
            <a:ext uri="{FF2B5EF4-FFF2-40B4-BE49-F238E27FC236}">
              <a16:creationId xmlns:a16="http://schemas.microsoft.com/office/drawing/2014/main" id="{9E7209A5-5D77-4365-856A-8D4182D86C40}"/>
            </a:ext>
            <a:ext uri="{147F2762-F138-4A5C-976F-8EAC2B608ADB}">
              <a16:predDERef xmlns:a16="http://schemas.microsoft.com/office/drawing/2014/main" pred="{AB4E0401-D5FB-4B18-8D3B-0851F7E71D00}"/>
            </a:ext>
          </a:extLst>
        </xdr:cNvPr>
        <xdr:cNvSpPr/>
      </xdr:nvSpPr>
      <xdr:spPr>
        <a:xfrm>
          <a:off x="16849725" y="5476875"/>
          <a:ext cx="1228725" cy="266700"/>
        </a:xfrm>
        <a:prstGeom prst="leftArrow">
          <a:avLst/>
        </a:prstGeom>
        <a:solidFill>
          <a:srgbClr val="92D050"/>
        </a:solidFill>
        <a:ln w="12700">
          <a:solidFill>
            <a:srgbClr val="92D050"/>
          </a:solidFill>
          <a:prstDash val="solid"/>
        </a:ln>
        <a:effectLst/>
      </xdr:spPr>
      <xdr:style>
        <a:lnRef idx="2">
          <a:schemeClr val="accent1">
            <a:shade val="50000"/>
          </a:schemeClr>
        </a:lnRef>
        <a:fillRef idx="1">
          <a:schemeClr val="accent1"/>
        </a:fillRef>
        <a:effectRef idx="0">
          <a:schemeClr val="accent1"/>
        </a:effectRef>
        <a:fontRef idx="minor">
          <a:srgbClr val="FFFFFF"/>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a:p>
      </xdr:txBody>
    </xdr:sp>
    <xdr:clientData/>
  </xdr:twoCellAnchor>
  <xdr:twoCellAnchor>
    <xdr:from>
      <xdr:col>10</xdr:col>
      <xdr:colOff>504825</xdr:colOff>
      <xdr:row>19</xdr:row>
      <xdr:rowOff>85725</xdr:rowOff>
    </xdr:from>
    <xdr:to>
      <xdr:col>11</xdr:col>
      <xdr:colOff>561975</xdr:colOff>
      <xdr:row>20</xdr:row>
      <xdr:rowOff>104775</xdr:rowOff>
    </xdr:to>
    <xdr:sp macro="" textlink="">
      <xdr:nvSpPr>
        <xdr:cNvPr id="4" name="Left Arrow 3">
          <a:extLst>
            <a:ext uri="{FF2B5EF4-FFF2-40B4-BE49-F238E27FC236}">
              <a16:creationId xmlns:a16="http://schemas.microsoft.com/office/drawing/2014/main" id="{B980E9ED-C189-448B-94BD-EF86BE9BB8A7}"/>
            </a:ext>
            <a:ext uri="{147F2762-F138-4A5C-976F-8EAC2B608ADB}">
              <a16:predDERef xmlns:a16="http://schemas.microsoft.com/office/drawing/2014/main" pred="{9E7209A5-5D77-4365-856A-8D4182D86C40}"/>
            </a:ext>
          </a:extLst>
        </xdr:cNvPr>
        <xdr:cNvSpPr/>
      </xdr:nvSpPr>
      <xdr:spPr>
        <a:xfrm rot="10800000">
          <a:off x="11229975" y="4276725"/>
          <a:ext cx="666750" cy="266700"/>
        </a:xfrm>
        <a:prstGeom prst="leftArrow">
          <a:avLst/>
        </a:prstGeom>
        <a:solidFill>
          <a:srgbClr val="FFFF00"/>
        </a:solidFill>
        <a:ln w="12700">
          <a:solidFill>
            <a:srgbClr val="FFFF00"/>
          </a:solidFill>
          <a:prstDash val="solid"/>
        </a:ln>
        <a:effectLst/>
      </xdr:spPr>
      <xdr:style>
        <a:lnRef idx="2">
          <a:schemeClr val="accent1">
            <a:shade val="50000"/>
          </a:schemeClr>
        </a:lnRef>
        <a:fillRef idx="1">
          <a:schemeClr val="accent1"/>
        </a:fillRef>
        <a:effectRef idx="0">
          <a:schemeClr val="accent1"/>
        </a:effectRef>
        <a:fontRef idx="minor">
          <a:srgbClr val="FFFFFF"/>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rgbClr val="FFFFFF"/>
              </a:solidFill>
              <a:latin typeface="+mn-lt"/>
              <a:ea typeface="+mn-ea"/>
              <a:cs typeface="+mn-cs"/>
            </a:defRPr>
          </a:lvl1pPr>
          <a:lvl2pPr marL="457200" indent="0">
            <a:defRPr sz="1100">
              <a:solidFill>
                <a:srgbClr val="FFFFFF"/>
              </a:solidFill>
              <a:latin typeface="+mn-lt"/>
              <a:ea typeface="+mn-ea"/>
              <a:cs typeface="+mn-cs"/>
            </a:defRPr>
          </a:lvl2pPr>
          <a:lvl3pPr marL="914400" indent="0">
            <a:defRPr sz="1100">
              <a:solidFill>
                <a:srgbClr val="FFFFFF"/>
              </a:solidFill>
              <a:latin typeface="+mn-lt"/>
              <a:ea typeface="+mn-ea"/>
              <a:cs typeface="+mn-cs"/>
            </a:defRPr>
          </a:lvl3pPr>
          <a:lvl4pPr marL="1371600" indent="0">
            <a:defRPr sz="1100">
              <a:solidFill>
                <a:srgbClr val="FFFFFF"/>
              </a:solidFill>
              <a:latin typeface="+mn-lt"/>
              <a:ea typeface="+mn-ea"/>
              <a:cs typeface="+mn-cs"/>
            </a:defRPr>
          </a:lvl4pPr>
          <a:lvl5pPr marL="1828800" indent="0">
            <a:defRPr sz="1100">
              <a:solidFill>
                <a:srgbClr val="FFFFFF"/>
              </a:solidFill>
              <a:latin typeface="+mn-lt"/>
              <a:ea typeface="+mn-ea"/>
              <a:cs typeface="+mn-cs"/>
            </a:defRPr>
          </a:lvl5pPr>
          <a:lvl6pPr marL="2286000" indent="0">
            <a:defRPr sz="1100">
              <a:solidFill>
                <a:srgbClr val="FFFFFF"/>
              </a:solidFill>
              <a:latin typeface="+mn-lt"/>
              <a:ea typeface="+mn-ea"/>
              <a:cs typeface="+mn-cs"/>
            </a:defRPr>
          </a:lvl6pPr>
          <a:lvl7pPr marL="2743200" indent="0">
            <a:defRPr sz="1100">
              <a:solidFill>
                <a:srgbClr val="FFFFFF"/>
              </a:solidFill>
              <a:latin typeface="+mn-lt"/>
              <a:ea typeface="+mn-ea"/>
              <a:cs typeface="+mn-cs"/>
            </a:defRPr>
          </a:lvl7pPr>
          <a:lvl8pPr marL="3200400" indent="0">
            <a:defRPr sz="1100">
              <a:solidFill>
                <a:srgbClr val="FFFFFF"/>
              </a:solidFill>
              <a:latin typeface="+mn-lt"/>
              <a:ea typeface="+mn-ea"/>
              <a:cs typeface="+mn-cs"/>
            </a:defRPr>
          </a:lvl8pPr>
          <a:lvl9pPr marL="3657600" indent="0">
            <a:defRPr sz="1100">
              <a:solidFill>
                <a:srgbClr val="FFFFFF"/>
              </a:solidFill>
              <a:latin typeface="+mn-lt"/>
              <a:ea typeface="+mn-ea"/>
              <a:cs typeface="+mn-cs"/>
            </a:defRPr>
          </a:lvl9pPr>
        </a:lstStyle>
        <a:p>
          <a:pPr algn="l"/>
          <a:endParaRPr lang="en-US"/>
        </a:p>
      </xdr:txBody>
    </xdr:sp>
    <xdr:clientData/>
  </xdr:twoCellAnchor>
  <xdr:twoCellAnchor>
    <xdr:from>
      <xdr:col>9</xdr:col>
      <xdr:colOff>581025</xdr:colOff>
      <xdr:row>32</xdr:row>
      <xdr:rowOff>38100</xdr:rowOff>
    </xdr:from>
    <xdr:to>
      <xdr:col>11</xdr:col>
      <xdr:colOff>514350</xdr:colOff>
      <xdr:row>33</xdr:row>
      <xdr:rowOff>114300</xdr:rowOff>
    </xdr:to>
    <xdr:sp macro="" textlink="">
      <xdr:nvSpPr>
        <xdr:cNvPr id="5" name="Left Arrow 4">
          <a:extLst>
            <a:ext uri="{FF2B5EF4-FFF2-40B4-BE49-F238E27FC236}">
              <a16:creationId xmlns:a16="http://schemas.microsoft.com/office/drawing/2014/main" id="{C42523B8-22F5-43D9-9BD7-0BFE9681556F}"/>
            </a:ext>
            <a:ext uri="{147F2762-F138-4A5C-976F-8EAC2B608ADB}">
              <a16:predDERef xmlns:a16="http://schemas.microsoft.com/office/drawing/2014/main" pred="{B980E9ED-C189-448B-94BD-EF86BE9BB8A7}"/>
            </a:ext>
          </a:extLst>
        </xdr:cNvPr>
        <xdr:cNvSpPr/>
      </xdr:nvSpPr>
      <xdr:spPr>
        <a:xfrm rot="10800000">
          <a:off x="10696575" y="7400925"/>
          <a:ext cx="1152525" cy="266700"/>
        </a:xfrm>
        <a:prstGeom prst="leftArrow">
          <a:avLst/>
        </a:prstGeom>
        <a:solidFill>
          <a:srgbClr val="FFFF00"/>
        </a:solidFill>
        <a:ln w="12700">
          <a:solidFill>
            <a:srgbClr val="FFFF00"/>
          </a:solidFill>
          <a:prstDash val="solid"/>
        </a:ln>
        <a:effectLst/>
      </xdr:spPr>
      <xdr:style>
        <a:lnRef idx="2">
          <a:schemeClr val="accent1">
            <a:shade val="50000"/>
          </a:schemeClr>
        </a:lnRef>
        <a:fillRef idx="1">
          <a:schemeClr val="accent1"/>
        </a:fillRef>
        <a:effectRef idx="0">
          <a:schemeClr val="accent1"/>
        </a:effectRef>
        <a:fontRef idx="minor">
          <a:srgbClr val="FFFFFF"/>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rgbClr val="FFFFFF"/>
              </a:solidFill>
              <a:latin typeface="+mn-lt"/>
              <a:ea typeface="+mn-ea"/>
              <a:cs typeface="+mn-cs"/>
            </a:defRPr>
          </a:lvl1pPr>
          <a:lvl2pPr marL="457200" indent="0">
            <a:defRPr sz="1100">
              <a:solidFill>
                <a:srgbClr val="FFFFFF"/>
              </a:solidFill>
              <a:latin typeface="+mn-lt"/>
              <a:ea typeface="+mn-ea"/>
              <a:cs typeface="+mn-cs"/>
            </a:defRPr>
          </a:lvl2pPr>
          <a:lvl3pPr marL="914400" indent="0">
            <a:defRPr sz="1100">
              <a:solidFill>
                <a:srgbClr val="FFFFFF"/>
              </a:solidFill>
              <a:latin typeface="+mn-lt"/>
              <a:ea typeface="+mn-ea"/>
              <a:cs typeface="+mn-cs"/>
            </a:defRPr>
          </a:lvl3pPr>
          <a:lvl4pPr marL="1371600" indent="0">
            <a:defRPr sz="1100">
              <a:solidFill>
                <a:srgbClr val="FFFFFF"/>
              </a:solidFill>
              <a:latin typeface="+mn-lt"/>
              <a:ea typeface="+mn-ea"/>
              <a:cs typeface="+mn-cs"/>
            </a:defRPr>
          </a:lvl4pPr>
          <a:lvl5pPr marL="1828800" indent="0">
            <a:defRPr sz="1100">
              <a:solidFill>
                <a:srgbClr val="FFFFFF"/>
              </a:solidFill>
              <a:latin typeface="+mn-lt"/>
              <a:ea typeface="+mn-ea"/>
              <a:cs typeface="+mn-cs"/>
            </a:defRPr>
          </a:lvl5pPr>
          <a:lvl6pPr marL="2286000" indent="0">
            <a:defRPr sz="1100">
              <a:solidFill>
                <a:srgbClr val="FFFFFF"/>
              </a:solidFill>
              <a:latin typeface="+mn-lt"/>
              <a:ea typeface="+mn-ea"/>
              <a:cs typeface="+mn-cs"/>
            </a:defRPr>
          </a:lvl6pPr>
          <a:lvl7pPr marL="2743200" indent="0">
            <a:defRPr sz="1100">
              <a:solidFill>
                <a:srgbClr val="FFFFFF"/>
              </a:solidFill>
              <a:latin typeface="+mn-lt"/>
              <a:ea typeface="+mn-ea"/>
              <a:cs typeface="+mn-cs"/>
            </a:defRPr>
          </a:lvl7pPr>
          <a:lvl8pPr marL="3200400" indent="0">
            <a:defRPr sz="1100">
              <a:solidFill>
                <a:srgbClr val="FFFFFF"/>
              </a:solidFill>
              <a:latin typeface="+mn-lt"/>
              <a:ea typeface="+mn-ea"/>
              <a:cs typeface="+mn-cs"/>
            </a:defRPr>
          </a:lvl8pPr>
          <a:lvl9pPr marL="3657600" indent="0">
            <a:defRPr sz="1100">
              <a:solidFill>
                <a:srgbClr val="FFFFFF"/>
              </a:solidFill>
              <a:latin typeface="+mn-lt"/>
              <a:ea typeface="+mn-ea"/>
              <a:cs typeface="+mn-cs"/>
            </a:defRPr>
          </a:lvl9pPr>
        </a:lstStyle>
        <a:p>
          <a:pPr algn="l"/>
          <a:endParaRPr lang="en-US"/>
        </a:p>
      </xdr:txBody>
    </xdr:sp>
    <xdr:clientData/>
  </xdr:twoCellAnchor>
  <xdr:twoCellAnchor>
    <xdr:from>
      <xdr:col>4</xdr:col>
      <xdr:colOff>809625</xdr:colOff>
      <xdr:row>19</xdr:row>
      <xdr:rowOff>238125</xdr:rowOff>
    </xdr:from>
    <xdr:to>
      <xdr:col>5</xdr:col>
      <xdr:colOff>533400</xdr:colOff>
      <xdr:row>33</xdr:row>
      <xdr:rowOff>95250</xdr:rowOff>
    </xdr:to>
    <xdr:sp macro="" textlink="">
      <xdr:nvSpPr>
        <xdr:cNvPr id="6" name="Bent-Up Arrow 5">
          <a:extLst>
            <a:ext uri="{FF2B5EF4-FFF2-40B4-BE49-F238E27FC236}">
              <a16:creationId xmlns:a16="http://schemas.microsoft.com/office/drawing/2014/main" id="{CECF4F68-46F4-488B-ADDE-AA512980F810}"/>
            </a:ext>
            <a:ext uri="{147F2762-F138-4A5C-976F-8EAC2B608ADB}">
              <a16:predDERef xmlns:a16="http://schemas.microsoft.com/office/drawing/2014/main" pred="{C42523B8-22F5-43D9-9BD7-0BFE9681556F}"/>
            </a:ext>
          </a:extLst>
        </xdr:cNvPr>
        <xdr:cNvSpPr/>
      </xdr:nvSpPr>
      <xdr:spPr>
        <a:xfrm rot="16200000" flipH="1" flipV="1">
          <a:off x="6124575" y="5724525"/>
          <a:ext cx="3219450" cy="628650"/>
        </a:xfrm>
        <a:prstGeom prst="bentUp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a:p>
      </xdr:txBody>
    </xdr:sp>
    <xdr:clientData/>
  </xdr:twoCellAnchor>
  <xdr:twoCellAnchor>
    <xdr:from>
      <xdr:col>4</xdr:col>
      <xdr:colOff>800100</xdr:colOff>
      <xdr:row>19</xdr:row>
      <xdr:rowOff>152400</xdr:rowOff>
    </xdr:from>
    <xdr:to>
      <xdr:col>7</xdr:col>
      <xdr:colOff>28575</xdr:colOff>
      <xdr:row>20</xdr:row>
      <xdr:rowOff>76200</xdr:rowOff>
    </xdr:to>
    <xdr:sp macro="" textlink="">
      <xdr:nvSpPr>
        <xdr:cNvPr id="7" name="Rectangle 6">
          <a:extLst>
            <a:ext uri="{FF2B5EF4-FFF2-40B4-BE49-F238E27FC236}">
              <a16:creationId xmlns:a16="http://schemas.microsoft.com/office/drawing/2014/main" id="{98765DED-90BF-42AE-9D6D-606E520B93C5}"/>
            </a:ext>
            <a:ext uri="{147F2762-F138-4A5C-976F-8EAC2B608ADB}">
              <a16:predDERef xmlns:a16="http://schemas.microsoft.com/office/drawing/2014/main" pred="{CECF4F68-46F4-488B-ADDE-AA512980F810}"/>
            </a:ext>
          </a:extLst>
        </xdr:cNvPr>
        <xdr:cNvSpPr/>
      </xdr:nvSpPr>
      <xdr:spPr>
        <a:xfrm>
          <a:off x="7410450" y="4343400"/>
          <a:ext cx="1428750" cy="171450"/>
        </a:xfrm>
        <a:prstGeom prst="rect">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xdr:txBody>
    </xdr:sp>
    <xdr:clientData/>
  </xdr:twoCellAnchor>
  <xdr:twoCellAnchor>
    <xdr:from>
      <xdr:col>19</xdr:col>
      <xdr:colOff>533400</xdr:colOff>
      <xdr:row>22</xdr:row>
      <xdr:rowOff>114300</xdr:rowOff>
    </xdr:from>
    <xdr:to>
      <xdr:col>21</xdr:col>
      <xdr:colOff>9525</xdr:colOff>
      <xdr:row>23</xdr:row>
      <xdr:rowOff>361950</xdr:rowOff>
    </xdr:to>
    <xdr:sp macro="" textlink="">
      <xdr:nvSpPr>
        <xdr:cNvPr id="8" name="Bent-Up Arrow 7">
          <a:extLst>
            <a:ext uri="{FF2B5EF4-FFF2-40B4-BE49-F238E27FC236}">
              <a16:creationId xmlns:a16="http://schemas.microsoft.com/office/drawing/2014/main" id="{05A88729-8962-4338-BCF2-01B5A040DD3F}"/>
            </a:ext>
            <a:ext uri="{147F2762-F138-4A5C-976F-8EAC2B608ADB}">
              <a16:predDERef xmlns:a16="http://schemas.microsoft.com/office/drawing/2014/main" pred="{98765DED-90BF-42AE-9D6D-606E520B93C5}"/>
            </a:ext>
          </a:extLst>
        </xdr:cNvPr>
        <xdr:cNvSpPr/>
      </xdr:nvSpPr>
      <xdr:spPr>
        <a:xfrm flipH="1">
          <a:off x="17821275" y="4752975"/>
          <a:ext cx="828675" cy="447675"/>
        </a:xfrm>
        <a:prstGeom prst="bentUpArrow">
          <a:avLst/>
        </a:prstGeom>
        <a:solidFill>
          <a:srgbClr val="F4B084"/>
        </a:solidFill>
        <a:ln>
          <a:solidFill>
            <a:srgbClr val="F4B084"/>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a:p>
      </xdr:txBody>
    </xdr:sp>
    <xdr:clientData/>
  </xdr:twoCellAnchor>
  <xdr:twoCellAnchor>
    <xdr:from>
      <xdr:col>23</xdr:col>
      <xdr:colOff>104775</xdr:colOff>
      <xdr:row>18</xdr:row>
      <xdr:rowOff>19050</xdr:rowOff>
    </xdr:from>
    <xdr:to>
      <xdr:col>26</xdr:col>
      <xdr:colOff>9525</xdr:colOff>
      <xdr:row>19</xdr:row>
      <xdr:rowOff>85725</xdr:rowOff>
    </xdr:to>
    <xdr:sp macro="" textlink="">
      <xdr:nvSpPr>
        <xdr:cNvPr id="9" name="Left Arrow 8">
          <a:extLst>
            <a:ext uri="{FF2B5EF4-FFF2-40B4-BE49-F238E27FC236}">
              <a16:creationId xmlns:a16="http://schemas.microsoft.com/office/drawing/2014/main" id="{B2D4E7D8-A908-45FA-AE2B-6A60A11B1F54}"/>
            </a:ext>
            <a:ext uri="{147F2762-F138-4A5C-976F-8EAC2B608ADB}">
              <a16:predDERef xmlns:a16="http://schemas.microsoft.com/office/drawing/2014/main" pred="{05A88729-8962-4338-BCF2-01B5A040DD3F}"/>
            </a:ext>
          </a:extLst>
        </xdr:cNvPr>
        <xdr:cNvSpPr/>
      </xdr:nvSpPr>
      <xdr:spPr>
        <a:xfrm>
          <a:off x="20250150" y="4010025"/>
          <a:ext cx="1314450" cy="266700"/>
        </a:xfrm>
        <a:prstGeom prst="leftArrow">
          <a:avLst/>
        </a:prstGeom>
        <a:solidFill>
          <a:srgbClr val="9BC2E6"/>
        </a:solidFill>
        <a:ln w="12700">
          <a:solidFill>
            <a:srgbClr val="B4C6E7"/>
          </a:solidFill>
          <a:prstDash val="solid"/>
        </a:ln>
        <a:effectLst/>
      </xdr:spPr>
      <xdr:style>
        <a:lnRef idx="2">
          <a:schemeClr val="accent1">
            <a:shade val="50000"/>
          </a:schemeClr>
        </a:lnRef>
        <a:fillRef idx="1">
          <a:schemeClr val="accent1"/>
        </a:fillRef>
        <a:effectRef idx="0">
          <a:schemeClr val="accent1"/>
        </a:effectRef>
        <a:fontRef idx="minor">
          <a:srgbClr val="FFFFFF"/>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rgbClr val="FFFFFF"/>
              </a:solidFill>
              <a:latin typeface="+mn-lt"/>
              <a:ea typeface="+mn-ea"/>
              <a:cs typeface="+mn-cs"/>
            </a:defRPr>
          </a:lvl1pPr>
          <a:lvl2pPr marL="457200" indent="0">
            <a:defRPr sz="1100">
              <a:solidFill>
                <a:srgbClr val="FFFFFF"/>
              </a:solidFill>
              <a:latin typeface="+mn-lt"/>
              <a:ea typeface="+mn-ea"/>
              <a:cs typeface="+mn-cs"/>
            </a:defRPr>
          </a:lvl2pPr>
          <a:lvl3pPr marL="914400" indent="0">
            <a:defRPr sz="1100">
              <a:solidFill>
                <a:srgbClr val="FFFFFF"/>
              </a:solidFill>
              <a:latin typeface="+mn-lt"/>
              <a:ea typeface="+mn-ea"/>
              <a:cs typeface="+mn-cs"/>
            </a:defRPr>
          </a:lvl3pPr>
          <a:lvl4pPr marL="1371600" indent="0">
            <a:defRPr sz="1100">
              <a:solidFill>
                <a:srgbClr val="FFFFFF"/>
              </a:solidFill>
              <a:latin typeface="+mn-lt"/>
              <a:ea typeface="+mn-ea"/>
              <a:cs typeface="+mn-cs"/>
            </a:defRPr>
          </a:lvl4pPr>
          <a:lvl5pPr marL="1828800" indent="0">
            <a:defRPr sz="1100">
              <a:solidFill>
                <a:srgbClr val="FFFFFF"/>
              </a:solidFill>
              <a:latin typeface="+mn-lt"/>
              <a:ea typeface="+mn-ea"/>
              <a:cs typeface="+mn-cs"/>
            </a:defRPr>
          </a:lvl5pPr>
          <a:lvl6pPr marL="2286000" indent="0">
            <a:defRPr sz="1100">
              <a:solidFill>
                <a:srgbClr val="FFFFFF"/>
              </a:solidFill>
              <a:latin typeface="+mn-lt"/>
              <a:ea typeface="+mn-ea"/>
              <a:cs typeface="+mn-cs"/>
            </a:defRPr>
          </a:lvl6pPr>
          <a:lvl7pPr marL="2743200" indent="0">
            <a:defRPr sz="1100">
              <a:solidFill>
                <a:srgbClr val="FFFFFF"/>
              </a:solidFill>
              <a:latin typeface="+mn-lt"/>
              <a:ea typeface="+mn-ea"/>
              <a:cs typeface="+mn-cs"/>
            </a:defRPr>
          </a:lvl7pPr>
          <a:lvl8pPr marL="3200400" indent="0">
            <a:defRPr sz="1100">
              <a:solidFill>
                <a:srgbClr val="FFFFFF"/>
              </a:solidFill>
              <a:latin typeface="+mn-lt"/>
              <a:ea typeface="+mn-ea"/>
              <a:cs typeface="+mn-cs"/>
            </a:defRPr>
          </a:lvl8pPr>
          <a:lvl9pPr marL="3657600" indent="0">
            <a:defRPr sz="1100">
              <a:solidFill>
                <a:srgbClr val="FFFFFF"/>
              </a:solidFill>
              <a:latin typeface="+mn-lt"/>
              <a:ea typeface="+mn-ea"/>
              <a:cs typeface="+mn-cs"/>
            </a:defRPr>
          </a:lvl9pPr>
        </a:lstStyle>
        <a:p>
          <a:pPr algn="l"/>
          <a:endParaRPr lang="en-US"/>
        </a:p>
      </xdr:txBody>
    </xdr:sp>
    <xdr:clientData/>
  </xdr:twoCellAnchor>
  <xdr:twoCellAnchor>
    <xdr:from>
      <xdr:col>23</xdr:col>
      <xdr:colOff>85725</xdr:colOff>
      <xdr:row>13</xdr:row>
      <xdr:rowOff>47625</xdr:rowOff>
    </xdr:from>
    <xdr:to>
      <xdr:col>27</xdr:col>
      <xdr:colOff>171450</xdr:colOff>
      <xdr:row>16</xdr:row>
      <xdr:rowOff>19050</xdr:rowOff>
    </xdr:to>
    <xdr:sp macro="" textlink="">
      <xdr:nvSpPr>
        <xdr:cNvPr id="10" name="Bent-Up Arrow 9">
          <a:extLst>
            <a:ext uri="{FF2B5EF4-FFF2-40B4-BE49-F238E27FC236}">
              <a16:creationId xmlns:a16="http://schemas.microsoft.com/office/drawing/2014/main" id="{F4008D0A-14F9-45E6-8972-16A1B3421315}"/>
            </a:ext>
            <a:ext uri="{147F2762-F138-4A5C-976F-8EAC2B608ADB}">
              <a16:predDERef xmlns:a16="http://schemas.microsoft.com/office/drawing/2014/main" pred="{B2D4E7D8-A908-45FA-AE2B-6A60A11B1F54}"/>
            </a:ext>
          </a:extLst>
        </xdr:cNvPr>
        <xdr:cNvSpPr/>
      </xdr:nvSpPr>
      <xdr:spPr>
        <a:xfrm rot="5373957" flipH="1" flipV="1">
          <a:off x="20983575" y="2286000"/>
          <a:ext cx="571500" cy="2076450"/>
        </a:xfrm>
        <a:prstGeom prst="bentUpArrow">
          <a:avLst/>
        </a:prstGeom>
        <a:solidFill>
          <a:srgbClr val="9BC2E6"/>
        </a:solidFill>
        <a:ln>
          <a:solidFill>
            <a:srgbClr val="B4C6E7"/>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a:p>
      </xdr:txBody>
    </xdr:sp>
    <xdr:clientData/>
  </xdr:twoCellAnchor>
</xdr:wsDr>
</file>

<file path=xl/persons/person.xml><?xml version="1.0" encoding="utf-8"?>
<personList xmlns="http://schemas.microsoft.com/office/spreadsheetml/2018/threadedcomments" xmlns:x="http://schemas.openxmlformats.org/spreadsheetml/2006/main">
  <person displayName="Maria Alejandra Suarez Forero" id="{8305D65A-2151-4DBF-A9E4-B597673B7088}" userId="S::mariasufo@unisabana.edu.co::4b683634-8698-4a63-8f9e-5f595695306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6" dT="2021-05-04T21:58:31.92" personId="{8305D65A-2151-4DBF-A9E4-B597673B7088}" id="{5401F691-57E0-4378-9C46-A4F5AA833B9D}">
    <text xml:space="preserve">Se han seleccionado cantidades donde se obtiene el menor precio por gramo. </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https://mercplaza.com/Gulupa-X-1-Libra-p371665575" TargetMode="External"/><Relationship Id="rId13" Type="http://schemas.openxmlformats.org/officeDocument/2006/relationships/hyperlink" Target="https://lamayorista.com/clasificados/producto/chontaduro-6/" TargetMode="External"/><Relationship Id="rId18" Type="http://schemas.openxmlformats.org/officeDocument/2006/relationships/drawing" Target="../drawings/drawing1.xml"/><Relationship Id="rId3" Type="http://schemas.openxmlformats.org/officeDocument/2006/relationships/hyperlink" Target="https://www.eltiempo.com/archivo/documento/CMS-12802666" TargetMode="External"/><Relationship Id="rId7" Type="http://schemas.openxmlformats.org/officeDocument/2006/relationships/hyperlink" Target="https://www.elcampesino.co/el-carambolo-y-sus-propiedades/" TargetMode="External"/><Relationship Id="rId12" Type="http://schemas.openxmlformats.org/officeDocument/2006/relationships/hyperlink" Target="https://delamazonas.com/plantas/el-araza/" TargetMode="External"/><Relationship Id="rId17" Type="http://schemas.openxmlformats.org/officeDocument/2006/relationships/printerSettings" Target="../printerSettings/printerSettings1.bin"/><Relationship Id="rId2" Type="http://schemas.openxmlformats.org/officeDocument/2006/relationships/hyperlink" Target="https://www.croppers.com.ar/nota/nota/46/salud_comer-mani-es-saludable-/" TargetMode="External"/><Relationship Id="rId16" Type="http://schemas.openxmlformats.org/officeDocument/2006/relationships/hyperlink" Target="https://www.colombia.com/vida-sana/nutricion/propiedades-y-beneficios-de-los-cubios-238307" TargetMode="External"/><Relationship Id="rId1" Type="http://schemas.openxmlformats.org/officeDocument/2006/relationships/hyperlink" Target="https://www.colombia.com/vida-sana/nutricion/sdi/37327/los-beneficios-de-consumir-la-granadilla" TargetMode="External"/><Relationship Id="rId6" Type="http://schemas.openxmlformats.org/officeDocument/2006/relationships/hyperlink" Target="https://konfyt.com/conoce-las-propiedades-y-beneficios-de-las-brevas/" TargetMode="External"/><Relationship Id="rId11" Type="http://schemas.openxmlformats.org/officeDocument/2006/relationships/hyperlink" Target="http://www.elnuevodia.com.co/nuevodia/sociales/la-columna-del-chef/435978-el-pescado-seco-salado" TargetMode="External"/><Relationship Id="rId5" Type="http://schemas.openxmlformats.org/officeDocument/2006/relationships/hyperlink" Target="https://www.eltiempo.com/colombia/barranquilla/el-bocachico-uno-de-los-pescados-preferidos-en-la-cocina-barranquillera-576675" TargetMode="External"/><Relationship Id="rId15" Type="http://schemas.openxmlformats.org/officeDocument/2006/relationships/hyperlink" Target="http://www.organizacionsolarte.com.co/CerealesCebadaPerlada.php" TargetMode="External"/><Relationship Id="rId10" Type="http://schemas.openxmlformats.org/officeDocument/2006/relationships/hyperlink" Target="https://www.distri-eleden.com/productos/harina-de-achira/" TargetMode="External"/><Relationship Id="rId4" Type="http://schemas.openxmlformats.org/officeDocument/2006/relationships/hyperlink" Target="https://www.directoalpaladar.com/recetas-de-legumbres-y-verduras/acelgas-sus-propiedades-como-disfrutarlas-estas-recetas-temporada" TargetMode="External"/><Relationship Id="rId9" Type="http://schemas.openxmlformats.org/officeDocument/2006/relationships/hyperlink" Target="https://mercplaza.com/Chuguas-X-1-Libra-p371665942" TargetMode="External"/><Relationship Id="rId14" Type="http://schemas.openxmlformats.org/officeDocument/2006/relationships/hyperlink" Target="https://www.elcampesino.co/la-cachama-una-oportunidad-productiva-en-caqueta/"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mercplaza.com/Limon-Comun-X-1-Libra-p341623281" TargetMode="External"/><Relationship Id="rId21" Type="http://schemas.openxmlformats.org/officeDocument/2006/relationships/hyperlink" Target="https://www.tiendasmetro.co/chatas-3411963/p" TargetMode="External"/><Relationship Id="rId42" Type="http://schemas.openxmlformats.org/officeDocument/2006/relationships/hyperlink" Target="https://mercplaza.com/Garbanzo-X-1-Lb-p341623623" TargetMode="External"/><Relationship Id="rId63" Type="http://schemas.openxmlformats.org/officeDocument/2006/relationships/hyperlink" Target="https://www.tiendasjumbo.co/frijol-caraota-cuisine-co-x-500g/p" TargetMode="External"/><Relationship Id="rId84" Type="http://schemas.openxmlformats.org/officeDocument/2006/relationships/hyperlink" Target="https://www.exito.com/queso-paipa-gourmet-504101/p" TargetMode="External"/><Relationship Id="rId138" Type="http://schemas.openxmlformats.org/officeDocument/2006/relationships/hyperlink" Target="https://www.fatsecret.com.mx/calor%C3%ADas-nutrici%C3%B3n/san-lucas/aceite-de-coco/1-cucharada" TargetMode="External"/><Relationship Id="rId159" Type="http://schemas.openxmlformats.org/officeDocument/2006/relationships/hyperlink" Target="https://www.icbf.gov.co/system/files/tcac_web.pdf" TargetMode="External"/><Relationship Id="rId170" Type="http://schemas.openxmlformats.org/officeDocument/2006/relationships/hyperlink" Target="https://www.fatsecret.com.mx/calor%C3%ADas-nutrici%C3%B3n/coca-cola/coca-cola/100ml" TargetMode="External"/><Relationship Id="rId191" Type="http://schemas.openxmlformats.org/officeDocument/2006/relationships/comments" Target="../comments1.xml"/><Relationship Id="rId107" Type="http://schemas.openxmlformats.org/officeDocument/2006/relationships/hyperlink" Target="https://www.exito.com/perejil-liso-x-100gr-316679/p" TargetMode="External"/><Relationship Id="rId11" Type="http://schemas.openxmlformats.org/officeDocument/2006/relationships/hyperlink" Target="https://www.miaguila.com/tiendas/d1/producto/tomate-chonto-500/" TargetMode="External"/><Relationship Id="rId32" Type="http://schemas.openxmlformats.org/officeDocument/2006/relationships/hyperlink" Target="https://mercplaza.com/search?keyword=mandarina" TargetMode="External"/><Relationship Id="rId53" Type="http://schemas.openxmlformats.org/officeDocument/2006/relationships/hyperlink" Target="https://mercplaza.com/Brocoli-X-1-Libra-p341623156" TargetMode="External"/><Relationship Id="rId74" Type="http://schemas.openxmlformats.org/officeDocument/2006/relationships/hyperlink" Target="https://www.exito.com/filete-de-tilapia-883171/p" TargetMode="External"/><Relationship Id="rId128" Type="http://schemas.openxmlformats.org/officeDocument/2006/relationships/hyperlink" Target="https://www.fatsecret.com.mx/calor%C3%ADas-nutrici%C3%B3n/gen%C3%A9rico/tilapia-(pez)" TargetMode="External"/><Relationship Id="rId149" Type="http://schemas.openxmlformats.org/officeDocument/2006/relationships/hyperlink" Target="https://www.fatsecret.com.mx/calor%C3%ADas-nutrici%C3%B3n/gen%C3%A9rico/sal?portionid=56639&amp;portionamount=100,000" TargetMode="External"/><Relationship Id="rId5" Type="http://schemas.openxmlformats.org/officeDocument/2006/relationships/hyperlink" Target="https://www.miaguila.com/tiendas/d1/producto/spaghetti-deliziare-500/" TargetMode="External"/><Relationship Id="rId95" Type="http://schemas.openxmlformats.org/officeDocument/2006/relationships/hyperlink" Target="https://www.exito.com/chocolate-azucar-pastillas-463498/p" TargetMode="External"/><Relationship Id="rId160" Type="http://schemas.openxmlformats.org/officeDocument/2006/relationships/hyperlink" Target="http://www.e-gnosis.udg.mx/index.php/trabajosinocuidad/article/download/355/210" TargetMode="External"/><Relationship Id="rId181" Type="http://schemas.openxmlformats.org/officeDocument/2006/relationships/hyperlink" Target="https://www.tolamarket.com/mercado/harina-de-sagu-a-granel/" TargetMode="External"/><Relationship Id="rId22" Type="http://schemas.openxmlformats.org/officeDocument/2006/relationships/hyperlink" Target="https://mercplaza.com/Uchuva-en-Cascara-X-1-Libra-p341623297" TargetMode="External"/><Relationship Id="rId43" Type="http://schemas.openxmlformats.org/officeDocument/2006/relationships/hyperlink" Target="https://mercplaza.com/Arveja-verde-seca-1-UND-X-500-GRS-p341623393" TargetMode="External"/><Relationship Id="rId64" Type="http://schemas.openxmlformats.org/officeDocument/2006/relationships/hyperlink" Target="https://mercplaza.com/Ahuyama-Curcubita-X-1-Libra-p341623309" TargetMode="External"/><Relationship Id="rId118" Type="http://schemas.openxmlformats.org/officeDocument/2006/relationships/hyperlink" Target="https://www.fatsecret.com.mx/calor%C3%ADas-nutrici%C3%B3n/gen%C3%A9rico/uva-negra" TargetMode="External"/><Relationship Id="rId139" Type="http://schemas.openxmlformats.org/officeDocument/2006/relationships/hyperlink" Target="https://www.fatsecret.com.mx/calor%C3%ADas-nutrici%C3%B3n/gen%C3%A9rico/aceite-de-girasol?portionid=55836&amp;portionamount=100,000" TargetMode="External"/><Relationship Id="rId85" Type="http://schemas.openxmlformats.org/officeDocument/2006/relationships/hyperlink" Target="https://www.exito.com/queso-crema-x-400g-101497/p" TargetMode="External"/><Relationship Id="rId150" Type="http://schemas.openxmlformats.org/officeDocument/2006/relationships/hyperlink" Target="https://www.fatsecret.com.mx/calor%C3%ADas-nutrici%C3%B3n/gen%C3%A9rico/caldo-de-gallina" TargetMode="External"/><Relationship Id="rId171" Type="http://schemas.openxmlformats.org/officeDocument/2006/relationships/hyperlink" Target="https://www.fatsecret.com.mx/calor%C3%ADas-nutrici%C3%B3n/gen%C3%A9rico/frijoles-cocidos?portionid=60949&amp;portionamount=100,000" TargetMode="External"/><Relationship Id="rId192" Type="http://schemas.microsoft.com/office/2017/10/relationships/threadedComment" Target="../threadedComments/threadedComment1.xml"/><Relationship Id="rId12" Type="http://schemas.openxmlformats.org/officeDocument/2006/relationships/hyperlink" Target="https://www.miaguila.com/tiendas/d1/producto/cebolla-larga-500-gr/" TargetMode="External"/><Relationship Id="rId33" Type="http://schemas.openxmlformats.org/officeDocument/2006/relationships/hyperlink" Target="https://mercplaza.com/Guanabana-1-Unidad-X-2Kilos-Aprox-p341623272" TargetMode="External"/><Relationship Id="rId108" Type="http://schemas.openxmlformats.org/officeDocument/2006/relationships/hyperlink" Target="https://www.exito.com/romero-en-bolsa-x-50gr-961326/p" TargetMode="External"/><Relationship Id="rId129" Type="http://schemas.openxmlformats.org/officeDocument/2006/relationships/hyperlink" Target="https://www.fatsecret.com.mx/calor%C3%ADas-nutrici%C3%B3n/gen%C3%A9rico/huevo?portionid=51772&amp;portionamount=100,000" TargetMode="External"/><Relationship Id="rId54" Type="http://schemas.openxmlformats.org/officeDocument/2006/relationships/hyperlink" Target="https://mercplaza.com/Berenjena-X-1-Lb-p341623316" TargetMode="External"/><Relationship Id="rId75" Type="http://schemas.openxmlformats.org/officeDocument/2006/relationships/hyperlink" Target="https://www.exito.com/huevo-rojo-a-x-30-insuperable-742696/p" TargetMode="External"/><Relationship Id="rId96" Type="http://schemas.openxmlformats.org/officeDocument/2006/relationships/hyperlink" Target="https://www.exito.com/miel-de-abeja-923984/p" TargetMode="External"/><Relationship Id="rId140" Type="http://schemas.openxmlformats.org/officeDocument/2006/relationships/hyperlink" Target="https://www.fatsecret.com.mx/calor%C3%ADas-nutrici%C3%B3n/gen%C3%A9rico/aceite-de-oliva?portionid=56943&amp;portionamount=100,000" TargetMode="External"/><Relationship Id="rId161" Type="http://schemas.openxmlformats.org/officeDocument/2006/relationships/hyperlink" Target="https://www.icbf.gov.co/system/files/tcac_web.pdf" TargetMode="External"/><Relationship Id="rId182" Type="http://schemas.openxmlformats.org/officeDocument/2006/relationships/hyperlink" Target="https://www.olimpica.com/pescado-seco-24013109-195/p" TargetMode="External"/><Relationship Id="rId6" Type="http://schemas.openxmlformats.org/officeDocument/2006/relationships/hyperlink" Target="https://www.miaguila.com/tiendas/d1/producto/pasta-para-lasagna-deliziare-450-gr/" TargetMode="External"/><Relationship Id="rId23" Type="http://schemas.openxmlformats.org/officeDocument/2006/relationships/hyperlink" Target="https://mercplaza.com/Tomate-arbol-X-1-Libra-p341623315" TargetMode="External"/><Relationship Id="rId119" Type="http://schemas.openxmlformats.org/officeDocument/2006/relationships/hyperlink" Target="https://www.fatsecret.com.mx/calor%C3%ADas-nutrici%C3%B3n/gen%C3%A9rico/carne-de-res?portionid=50030&amp;portionamount=100,000" TargetMode="External"/><Relationship Id="rId44" Type="http://schemas.openxmlformats.org/officeDocument/2006/relationships/hyperlink" Target="https://mercplaza.com/Fr%C3%ADjol-Bola-Roja-1-Lb-p341623597" TargetMode="External"/><Relationship Id="rId65" Type="http://schemas.openxmlformats.org/officeDocument/2006/relationships/hyperlink" Target="https://www.tiendasjumbo.co/pasta-clasica-tornillos-doria-x-250-g/p" TargetMode="External"/><Relationship Id="rId86" Type="http://schemas.openxmlformats.org/officeDocument/2006/relationships/hyperlink" Target="https://www.exito.com/suero-costeno-entero-coolechera-200-gramo-716627/p" TargetMode="External"/><Relationship Id="rId130" Type="http://schemas.openxmlformats.org/officeDocument/2006/relationships/hyperlink" Target="https://www.fatsecret.com.mx/calor%C3%ADas-nutrici%C3%B3n/gen%C3%A9rico/crema-de-leche?portionid=56463&amp;portionamount=100,000" TargetMode="External"/><Relationship Id="rId151" Type="http://schemas.openxmlformats.org/officeDocument/2006/relationships/hyperlink" Target="https://www.fatsecret.com.mx/calor%C3%ADas-nutrici%C3%B3n/gen%C3%A9rico/comino" TargetMode="External"/><Relationship Id="rId172" Type="http://schemas.openxmlformats.org/officeDocument/2006/relationships/hyperlink" Target="https://www.fatsecret.com.mx/calor%C3%ADas-nutrici%C3%B3n/gen%C3%A9rico/ensalada-de-lechuga-con-verduras-variadas-(incluidos-los-tomates-y-o-zanahorias)?portionid=54959&amp;portionamount=100,000" TargetMode="External"/><Relationship Id="rId13" Type="http://schemas.openxmlformats.org/officeDocument/2006/relationships/hyperlink" Target="https://www.miaguila.com/tiendas/d1/producto/pimenton-500/" TargetMode="External"/><Relationship Id="rId18" Type="http://schemas.openxmlformats.org/officeDocument/2006/relationships/hyperlink" Target="https://www.exito.com/uva-champa-a-x-800gr-93564/p" TargetMode="External"/><Relationship Id="rId39" Type="http://schemas.openxmlformats.org/officeDocument/2006/relationships/hyperlink" Target="https://mercplaza.com/search?keyword=ciruela" TargetMode="External"/><Relationship Id="rId109" Type="http://schemas.openxmlformats.org/officeDocument/2006/relationships/hyperlink" Target="https://www.exito.com/tomillo-50g-bolsa-961336/p" TargetMode="External"/><Relationship Id="rId34" Type="http://schemas.openxmlformats.org/officeDocument/2006/relationships/hyperlink" Target="https://mercplaza.com/Granadilla-X-1-Libra-p341623322" TargetMode="External"/><Relationship Id="rId50" Type="http://schemas.openxmlformats.org/officeDocument/2006/relationships/hyperlink" Target="https://mercplaza.com/Haba-verde-Desgranada-X-1-Libras-p341623304" TargetMode="External"/><Relationship Id="rId55" Type="http://schemas.openxmlformats.org/officeDocument/2006/relationships/hyperlink" Target="https://mercplaza.com/Apio-1-Unidad-X-1Kilo-p341623110" TargetMode="External"/><Relationship Id="rId76" Type="http://schemas.openxmlformats.org/officeDocument/2006/relationships/hyperlink" Target="https://www.exito.com/crema-leche-uht-bolsa-colanta-900-mililitro-496854/p" TargetMode="External"/><Relationship Id="rId97" Type="http://schemas.openxmlformats.org/officeDocument/2006/relationships/hyperlink" Target="https://www.exito.com/panela-589548/p" TargetMode="External"/><Relationship Id="rId104" Type="http://schemas.openxmlformats.org/officeDocument/2006/relationships/hyperlink" Target="https://www.exito.com/cilantro-x-100gr-311546/p" TargetMode="External"/><Relationship Id="rId120" Type="http://schemas.openxmlformats.org/officeDocument/2006/relationships/hyperlink" Target="https://www.fatsecret.com.mx/calor%C3%ADas-nutrici%C3%B3n/gen%C3%A9rico/uva-(rojo-o-verde-variedades-de-tipo-europeo-como-thompson-sin-semilla)?portionid=58562&amp;portionamount=100,000" TargetMode="External"/><Relationship Id="rId125" Type="http://schemas.openxmlformats.org/officeDocument/2006/relationships/hyperlink" Target="https://www.fatsecret.com.mx/calor%C3%ADas-nutrici%C3%B3n/gen%C3%A9rico/lomo-de-cerdo" TargetMode="External"/><Relationship Id="rId141" Type="http://schemas.openxmlformats.org/officeDocument/2006/relationships/hyperlink" Target="https://www.fatsecret.com.mx/calor%C3%ADas-nutrici%C3%B3n/gen%C3%A9rico/manteca-de-cerdo?portionid=56917&amp;portionamount=100,000" TargetMode="External"/><Relationship Id="rId146" Type="http://schemas.openxmlformats.org/officeDocument/2006/relationships/hyperlink" Target="https://www.fatsecret.com.mx/calor%C3%ADas-nutrici%C3%B3n/gen%C3%A9rico/chocolate" TargetMode="External"/><Relationship Id="rId167" Type="http://schemas.openxmlformats.org/officeDocument/2006/relationships/hyperlink" Target="https://www.tiendasjumbo.co/gaseosa-coca-cola-x-600-ml/p" TargetMode="External"/><Relationship Id="rId188" Type="http://schemas.openxmlformats.org/officeDocument/2006/relationships/printerSettings" Target="../printerSettings/printerSettings3.bin"/><Relationship Id="rId7" Type="http://schemas.openxmlformats.org/officeDocument/2006/relationships/hyperlink" Target="https://www.miaguila.com/tiendas/d1/producto/cabello-de-angel-caprissima-250/" TargetMode="External"/><Relationship Id="rId71" Type="http://schemas.openxmlformats.org/officeDocument/2006/relationships/hyperlink" Target="https://www.exito.com/mojarra-plateada-256135/p" TargetMode="External"/><Relationship Id="rId92" Type="http://schemas.openxmlformats.org/officeDocument/2006/relationships/hyperlink" Target="https://www.exito.com/azucar-blanca-exito-2500-gr-113306/p" TargetMode="External"/><Relationship Id="rId162" Type="http://schemas.openxmlformats.org/officeDocument/2006/relationships/hyperlink" Target="https://www.icbf.gov.co/system/files/tcac_web.pdf" TargetMode="External"/><Relationship Id="rId183" Type="http://schemas.openxmlformats.org/officeDocument/2006/relationships/hyperlink" Target="http://almarita-medellin.com/vivero/araza/" TargetMode="External"/><Relationship Id="rId2" Type="http://schemas.openxmlformats.org/officeDocument/2006/relationships/hyperlink" Target="https://www.miaguila.com/tiendas/d1/producto/harina-de-trigo-quicksy-500/" TargetMode="External"/><Relationship Id="rId29" Type="http://schemas.openxmlformats.org/officeDocument/2006/relationships/hyperlink" Target="https://mercplaza.com/Melon-X-1-Unidad-p341623118" TargetMode="External"/><Relationship Id="rId24" Type="http://schemas.openxmlformats.org/officeDocument/2006/relationships/hyperlink" Target="https://mercplaza.com/Pi%C3%B1a-Perolera-1-Unidad-X-2-Kilos-p341623291" TargetMode="External"/><Relationship Id="rId40" Type="http://schemas.openxmlformats.org/officeDocument/2006/relationships/hyperlink" Target="https://mercplaza.com/Lentejas-1-Lb-p341623688" TargetMode="External"/><Relationship Id="rId45" Type="http://schemas.openxmlformats.org/officeDocument/2006/relationships/hyperlink" Target="https://mercplaza.com/Zuchinni-Verde-X-1-Libra-p341623108" TargetMode="External"/><Relationship Id="rId66" Type="http://schemas.openxmlformats.org/officeDocument/2006/relationships/hyperlink" Target="https://www.exito.com/solomo-redondo-selecto-66675/p" TargetMode="External"/><Relationship Id="rId87" Type="http://schemas.openxmlformats.org/officeDocument/2006/relationships/hyperlink" Target="https://www.exito.com/aceite-de-coco-organico-x-798-cm3-688195/p" TargetMode="External"/><Relationship Id="rId110" Type="http://schemas.openxmlformats.org/officeDocument/2006/relationships/hyperlink" Target="https://mercplaza.com/Tomate-Cherry-X-250-Gramos-p341623267" TargetMode="External"/><Relationship Id="rId115" Type="http://schemas.openxmlformats.org/officeDocument/2006/relationships/hyperlink" Target="https://www.icbf.gov.co/system/files/tcac_web.pdf" TargetMode="External"/><Relationship Id="rId131" Type="http://schemas.openxmlformats.org/officeDocument/2006/relationships/hyperlink" Target="https://www.fatsecret.com.mx/calor%C3%ADas-nutrici%C3%B3n/liconsa/leche-en-polvo/100g" TargetMode="External"/><Relationship Id="rId136" Type="http://schemas.openxmlformats.org/officeDocument/2006/relationships/hyperlink" Target="https://www.fatsecret.com.mx/calor%C3%ADas-nutrici%C3%B3n/gen%C3%A9rico/queso-mozzarella-(leche-entera)" TargetMode="External"/><Relationship Id="rId157" Type="http://schemas.openxmlformats.org/officeDocument/2006/relationships/hyperlink" Target="https://www.icbf.gov.co/system/files/tcac_web.pdf" TargetMode="External"/><Relationship Id="rId178" Type="http://schemas.openxmlformats.org/officeDocument/2006/relationships/hyperlink" Target="https://mercplaza.com/Carambolo-X-1-Libra-p371665564" TargetMode="External"/><Relationship Id="rId61" Type="http://schemas.openxmlformats.org/officeDocument/2006/relationships/hyperlink" Target="https://mercplaza.com/Arracacha-X-1-Libra-p341623142" TargetMode="External"/><Relationship Id="rId82" Type="http://schemas.openxmlformats.org/officeDocument/2006/relationships/hyperlink" Target="https://www.exito.com/queso-doble-crema-x-1000g-100320/p" TargetMode="External"/><Relationship Id="rId152" Type="http://schemas.openxmlformats.org/officeDocument/2006/relationships/hyperlink" Target="https://www.fatsecret.com.mx/calor%C3%ADas-nutrici%C3%B3n/gen%C3%A9rico/pimienta-negra" TargetMode="External"/><Relationship Id="rId173" Type="http://schemas.openxmlformats.org/officeDocument/2006/relationships/hyperlink" Target="https://www.fatsecret.com.mx/calor%C3%ADas-nutrici%C3%B3n/gen%C3%A9rico/panela" TargetMode="External"/><Relationship Id="rId19" Type="http://schemas.openxmlformats.org/officeDocument/2006/relationships/hyperlink" Target="https://cornershopapp.com/es-co/products/ruf6-cadera-de-res-precio-por-kg" TargetMode="External"/><Relationship Id="rId14" Type="http://schemas.openxmlformats.org/officeDocument/2006/relationships/hyperlink" Target="https://www.miaguila.com/tiendas/d1/producto/platano-harton-unidad/" TargetMode="External"/><Relationship Id="rId30" Type="http://schemas.openxmlformats.org/officeDocument/2006/relationships/hyperlink" Target="https://mercplaza.com/Manzana-Roja-X-1-Libra-p341623276" TargetMode="External"/><Relationship Id="rId35" Type="http://schemas.openxmlformats.org/officeDocument/2006/relationships/hyperlink" Target="https://mercplaza.com/Fresa-Pareja-X-1-Libra-p341623160" TargetMode="External"/><Relationship Id="rId56" Type="http://schemas.openxmlformats.org/officeDocument/2006/relationships/hyperlink" Target="https://mercplaza.com/Yuca-X-1-Libra-p341623159" TargetMode="External"/><Relationship Id="rId77" Type="http://schemas.openxmlformats.org/officeDocument/2006/relationships/hyperlink" Target="https://www.exito.com/leche-en-polvo-entera-904337/p" TargetMode="External"/><Relationship Id="rId100" Type="http://schemas.openxmlformats.org/officeDocument/2006/relationships/hyperlink" Target="https://www.exito.com/color-zipper-694970/p" TargetMode="External"/><Relationship Id="rId105" Type="http://schemas.openxmlformats.org/officeDocument/2006/relationships/hyperlink" Target="https://www.exito.com/laurel-50g-bolsa-961312/p" TargetMode="External"/><Relationship Id="rId126" Type="http://schemas.openxmlformats.org/officeDocument/2006/relationships/hyperlink" Target="https://www.fatsecret.com.mx/calor%C3%ADas-nutrici%C3%B3n/gen%C3%A9rico/at%C3%BAn-en-agua-(enlatado)" TargetMode="External"/><Relationship Id="rId147" Type="http://schemas.openxmlformats.org/officeDocument/2006/relationships/hyperlink" Target="https://www.fatsecret.com.mx/calor%C3%ADas-nutrici%C3%B3n/gen%C3%A9rico/miel?portionid=62267&amp;portionamount=100,000" TargetMode="External"/><Relationship Id="rId168" Type="http://schemas.openxmlformats.org/officeDocument/2006/relationships/hyperlink" Target="https://www.fatsecret.com.mx/calor%C3%ADas-nutrici%C3%B3n/gen%C3%A9rico/caf%C3%A9-instant%C3%A1neo?portionid=1136785&amp;portionamount=100,000" TargetMode="External"/><Relationship Id="rId8" Type="http://schemas.openxmlformats.org/officeDocument/2006/relationships/hyperlink" Target="https://www.miaguila.com/tiendas/d1/producto/papa-parda-pastusa-2000/" TargetMode="External"/><Relationship Id="rId51" Type="http://schemas.openxmlformats.org/officeDocument/2006/relationships/hyperlink" Target="https://mercplaza.com/Espinaca-X-250-Grs-p341623120" TargetMode="External"/><Relationship Id="rId72" Type="http://schemas.openxmlformats.org/officeDocument/2006/relationships/hyperlink" Target="https://www.exito.com/atun-lomitos-agua-yeli-marca-exclusiva-170-gramo-949865/p" TargetMode="External"/><Relationship Id="rId93" Type="http://schemas.openxmlformats.org/officeDocument/2006/relationships/hyperlink" Target="https://www.exito.com/azucar-morena-exito-1000-gr-807783/p" TargetMode="External"/><Relationship Id="rId98" Type="http://schemas.openxmlformats.org/officeDocument/2006/relationships/hyperlink" Target="https://www.exito.com/sal-951491/p" TargetMode="External"/><Relationship Id="rId121" Type="http://schemas.openxmlformats.org/officeDocument/2006/relationships/hyperlink" Target="https://www.fatsecret.com.mx/calor%C3%ADas-nutrici%C3%B3n/gen%C3%A9rico/pechuga-de-pollo" TargetMode="External"/><Relationship Id="rId142" Type="http://schemas.openxmlformats.org/officeDocument/2006/relationships/hyperlink" Target="https://www.fatsecret.com.mx/calor%C3%ADas-nutrici%C3%B3n/gen%C3%A9rico/margarina?portionid=55679&amp;portionamount=100,000" TargetMode="External"/><Relationship Id="rId163" Type="http://schemas.openxmlformats.org/officeDocument/2006/relationships/hyperlink" Target="https://www.icbf.gov.co/system/files/tcac_web.pdf" TargetMode="External"/><Relationship Id="rId184" Type="http://schemas.openxmlformats.org/officeDocument/2006/relationships/hyperlink" Target="https://lamayorista.com/clasificados/producto/chontaduro-6/" TargetMode="External"/><Relationship Id="rId189" Type="http://schemas.openxmlformats.org/officeDocument/2006/relationships/drawing" Target="../drawings/drawing3.xml"/><Relationship Id="rId3" Type="http://schemas.openxmlformats.org/officeDocument/2006/relationships/hyperlink" Target="https://www.miaguila.com/tiendas/d1/producto/harina-de-maiz-blanco-quicksy-1000/" TargetMode="External"/><Relationship Id="rId25" Type="http://schemas.openxmlformats.org/officeDocument/2006/relationships/hyperlink" Target="https://mercplaza.com/Pera-Nacional-X-1-Libra-p341623141" TargetMode="External"/><Relationship Id="rId46" Type="http://schemas.openxmlformats.org/officeDocument/2006/relationships/hyperlink" Target="https://mercplaza.com/Zanahoria-Mediana-X-1-Libra-p341623153" TargetMode="External"/><Relationship Id="rId67" Type="http://schemas.openxmlformats.org/officeDocument/2006/relationships/hyperlink" Target="https://www.tiendasmetro.co/alas-sin-costillar-en-bandeja-x-1000-g/p?idsku=27158" TargetMode="External"/><Relationship Id="rId116" Type="http://schemas.openxmlformats.org/officeDocument/2006/relationships/hyperlink" Target="https://mercplaza.com/Guayaba-Pera-X-1-Libra-p341623229" TargetMode="External"/><Relationship Id="rId137" Type="http://schemas.openxmlformats.org/officeDocument/2006/relationships/hyperlink" Target="https://www.fatsecret.com.mx/calor%C3%ADas-nutrici%C3%B3n/gen%C3%A9rico/queso-crema?portionid=56428&amp;portionamount=100,000" TargetMode="External"/><Relationship Id="rId158" Type="http://schemas.openxmlformats.org/officeDocument/2006/relationships/hyperlink" Target="https://www.icbf.gov.co/system/files/tcac_web.pdf" TargetMode="External"/><Relationship Id="rId20" Type="http://schemas.openxmlformats.org/officeDocument/2006/relationships/hyperlink" Target="https://www.exito.com/carne-molida-res-x-kg-66730/p" TargetMode="External"/><Relationship Id="rId41" Type="http://schemas.openxmlformats.org/officeDocument/2006/relationships/hyperlink" Target="https://mercplaza.com/Platano-Maduro-X-1-Libra-p341623258" TargetMode="External"/><Relationship Id="rId62" Type="http://schemas.openxmlformats.org/officeDocument/2006/relationships/hyperlink" Target="https://www.tiendasjumbo.co/mani-con-sal-la-especial-x-200-g/p" TargetMode="External"/><Relationship Id="rId83" Type="http://schemas.openxmlformats.org/officeDocument/2006/relationships/hyperlink" Target="https://www.exito.com/queso-mozarella-bloque-dlusia-1500-gramo-681054/p" TargetMode="External"/><Relationship Id="rId88" Type="http://schemas.openxmlformats.org/officeDocument/2006/relationships/hyperlink" Target="https://www.exito.com/aceite-girasol-942636/p" TargetMode="External"/><Relationship Id="rId111" Type="http://schemas.openxmlformats.org/officeDocument/2006/relationships/hyperlink" Target="https://mercplaza.com/Champi%C3%B1ones-X-250-Gramos-p341623140" TargetMode="External"/><Relationship Id="rId132" Type="http://schemas.openxmlformats.org/officeDocument/2006/relationships/hyperlink" Target="https://www.fatsecret.com.mx/calor%C3%ADas-nutrici%C3%B3n/gen%C3%A9rico/leche-(leche-entera)?portionid=56481&amp;portionamount=100,000" TargetMode="External"/><Relationship Id="rId153" Type="http://schemas.openxmlformats.org/officeDocument/2006/relationships/hyperlink" Target="https://www.fatsecret.com.mx/calor%C3%ADas-nutrici%C3%B3n/gen%C3%A9rico/albahaca?portionid=56636&amp;portionamount=100,000" TargetMode="External"/><Relationship Id="rId174" Type="http://schemas.openxmlformats.org/officeDocument/2006/relationships/hyperlink" Target="https://www.fatsecret.com.mx/calor%C3%ADas-nutrici%C3%B3n/gen%C3%A9rico/arroz-blanco?portionid=53181&amp;portionamount=100,000" TargetMode="External"/><Relationship Id="rId179" Type="http://schemas.openxmlformats.org/officeDocument/2006/relationships/hyperlink" Target="https://mercplaza.com/Gulupa-X-1-Libra-p371665575" TargetMode="External"/><Relationship Id="rId190" Type="http://schemas.openxmlformats.org/officeDocument/2006/relationships/vmlDrawing" Target="../drawings/vmlDrawing1.vml"/><Relationship Id="rId15" Type="http://schemas.openxmlformats.org/officeDocument/2006/relationships/hyperlink" Target="https://www.miaguila.com/tiendas/d1/producto/ajo-malla-unidades-100/" TargetMode="External"/><Relationship Id="rId36" Type="http://schemas.openxmlformats.org/officeDocument/2006/relationships/hyperlink" Target="https://mercplaza.com/Feijoa-X-1-Libra-p341623290" TargetMode="External"/><Relationship Id="rId57" Type="http://schemas.openxmlformats.org/officeDocument/2006/relationships/hyperlink" Target="https://mercplaza.com/Remolacha-X-1-Libra-p341623168" TargetMode="External"/><Relationship Id="rId106" Type="http://schemas.openxmlformats.org/officeDocument/2006/relationships/hyperlink" Target="https://www.exito.com/oregano-comarrico-20-gramo-54598/p" TargetMode="External"/><Relationship Id="rId127" Type="http://schemas.openxmlformats.org/officeDocument/2006/relationships/hyperlink" Target="https://www.fatsecret.com.mx/calor%C3%ADas-nutrici%C3%B3n/gen%C3%A9rico/mojarra" TargetMode="External"/><Relationship Id="rId10" Type="http://schemas.openxmlformats.org/officeDocument/2006/relationships/hyperlink" Target="https://www.miaguila.com/tiendas/d1/producto/cebolla-cabezona-500/" TargetMode="External"/><Relationship Id="rId31" Type="http://schemas.openxmlformats.org/officeDocument/2006/relationships/hyperlink" Target="https://mercplaza.com/Mango-Comun-X-1-Libra-p341623241" TargetMode="External"/><Relationship Id="rId52" Type="http://schemas.openxmlformats.org/officeDocument/2006/relationships/hyperlink" Target="https://mercplaza.com/Coliflor-X-1-Unidad-p341623116" TargetMode="External"/><Relationship Id="rId73" Type="http://schemas.openxmlformats.org/officeDocument/2006/relationships/hyperlink" Target="https://www.exito.com/lomo-de-cerdo-cc-437688/p" TargetMode="External"/><Relationship Id="rId78" Type="http://schemas.openxmlformats.org/officeDocument/2006/relationships/hyperlink" Target="https://www.exito.com/leche-entera-sixpack-en-bolsa-x-11-litros-cu-807650/p" TargetMode="External"/><Relationship Id="rId94" Type="http://schemas.openxmlformats.org/officeDocument/2006/relationships/hyperlink" Target="https://www.pricesmart.com/site/co/es/pagina-producto/326829" TargetMode="External"/><Relationship Id="rId99" Type="http://schemas.openxmlformats.org/officeDocument/2006/relationships/hyperlink" Target="https://www.exito.com/caldo-dona-gallina-84-gr-3011028/p" TargetMode="External"/><Relationship Id="rId101" Type="http://schemas.openxmlformats.org/officeDocument/2006/relationships/hyperlink" Target="https://www.exito.com/comino-molido-comarrico-50-gramo-874786/p" TargetMode="External"/><Relationship Id="rId122" Type="http://schemas.openxmlformats.org/officeDocument/2006/relationships/hyperlink" Target="https://www.fatsecret.com.mx/calor%C3%ADas-nutrici%C3%B3n/gen%C3%A9rico/alitas-de-pollo?portionid=50393&amp;portionamount=100,000" TargetMode="External"/><Relationship Id="rId143" Type="http://schemas.openxmlformats.org/officeDocument/2006/relationships/hyperlink" Target="https://www.fatsecret.com.mx/calor%C3%ADas-nutrici%C3%B3n/gen%C3%A9rico/az%C3%BAcar?portionid=55855&amp;portionamount=100,000" TargetMode="External"/><Relationship Id="rId148" Type="http://schemas.openxmlformats.org/officeDocument/2006/relationships/hyperlink" Target="https://www.fatsecret.com.mx/calor%C3%ADas-nutrici%C3%B3n/gen%C3%A9rico/panela" TargetMode="External"/><Relationship Id="rId164" Type="http://schemas.openxmlformats.org/officeDocument/2006/relationships/hyperlink" Target="https://www.icbf.gov.co/system/files/tcac_web.pdf" TargetMode="External"/><Relationship Id="rId169" Type="http://schemas.openxmlformats.org/officeDocument/2006/relationships/hyperlink" Target="https://www.fatsecret.com.mx/calor%C3%ADas-nutrici%C3%B3n/gen%C3%A9rico/papas-fritas-(saladas)" TargetMode="External"/><Relationship Id="rId185" Type="http://schemas.openxmlformats.org/officeDocument/2006/relationships/hyperlink" Target="https://www.exito.com/cachama-841763/p" TargetMode="External"/><Relationship Id="rId4" Type="http://schemas.openxmlformats.org/officeDocument/2006/relationships/hyperlink" Target="https://www.miaguila.com/tiendas/d1/producto/avena-en-hojuelas-fit-graan-250/" TargetMode="External"/><Relationship Id="rId9" Type="http://schemas.openxmlformats.org/officeDocument/2006/relationships/hyperlink" Target="https://www.miaguila.com/tiendas/d1/producto/pan-tajado-leche-servipan-550/" TargetMode="External"/><Relationship Id="rId180" Type="http://schemas.openxmlformats.org/officeDocument/2006/relationships/hyperlink" Target="https://mercplaza.com/Chuguas-X-1-Libra-p371665942" TargetMode="External"/><Relationship Id="rId26" Type="http://schemas.openxmlformats.org/officeDocument/2006/relationships/hyperlink" Target="https://mercplaza.com/Papaya-Maradol-X-1-Unidad-Aprox-2-Kilos-p341623130" TargetMode="External"/><Relationship Id="rId47" Type="http://schemas.openxmlformats.org/officeDocument/2006/relationships/hyperlink" Target="https://mercplaza.com/Pepino-Cohombro-X-1Libra-p341623113" TargetMode="External"/><Relationship Id="rId68" Type="http://schemas.openxmlformats.org/officeDocument/2006/relationships/hyperlink" Target="https://cornershopapp.com/es-co/products/t2ir-colsubsidio-corazones-de-pollo-kg" TargetMode="External"/><Relationship Id="rId89" Type="http://schemas.openxmlformats.org/officeDocument/2006/relationships/hyperlink" Target="https://www.pricesmart.com/site/co/es/pagina-producto/388010" TargetMode="External"/><Relationship Id="rId112" Type="http://schemas.openxmlformats.org/officeDocument/2006/relationships/hyperlink" Target="https://www.icbf.gov.co/system/files/tcac_web.pdf" TargetMode="External"/><Relationship Id="rId133" Type="http://schemas.openxmlformats.org/officeDocument/2006/relationships/hyperlink" Target="https://www.fatsecret.com.mx/calor%C3%ADas-nutrici%C3%B3n/gen%C3%A9rico/mantequilla?portionid=56545&amp;portionamount=100,000" TargetMode="External"/><Relationship Id="rId154" Type="http://schemas.openxmlformats.org/officeDocument/2006/relationships/hyperlink" Target="https://www.fatsecret.com.mx/calor%C3%ADas-nutrici%C3%B3n/gen%C3%A9rico/cilantro?portionid=54922&amp;portionamount=100,000" TargetMode="External"/><Relationship Id="rId175" Type="http://schemas.openxmlformats.org/officeDocument/2006/relationships/hyperlink" Target="https://mercplaza.com/Acelgas-X-1-Libra-p371665986" TargetMode="External"/><Relationship Id="rId16" Type="http://schemas.openxmlformats.org/officeDocument/2006/relationships/hyperlink" Target="https://www.exito.com/uva-red-globe-nacional-x-800gr-93580/p" TargetMode="External"/><Relationship Id="rId37" Type="http://schemas.openxmlformats.org/officeDocument/2006/relationships/hyperlink" Target="https://mercplaza.com/Durazno-Nacional-X-1-Libra-p341623218" TargetMode="External"/><Relationship Id="rId58" Type="http://schemas.openxmlformats.org/officeDocument/2006/relationships/hyperlink" Target="https://mercplaza.com/Papa-Sabanera-Lavada-X-1-Libra-p341623255" TargetMode="External"/><Relationship Id="rId79" Type="http://schemas.openxmlformats.org/officeDocument/2006/relationships/hyperlink" Target="https://www.exito.com/mantequilla-esparcible-en-barra-x-125-gr-59668/p" TargetMode="External"/><Relationship Id="rId102" Type="http://schemas.openxmlformats.org/officeDocument/2006/relationships/hyperlink" Target="https://www.exito.com/condimento-pimienta-molida-x-60-gr-el-rey-64910/p" TargetMode="External"/><Relationship Id="rId123" Type="http://schemas.openxmlformats.org/officeDocument/2006/relationships/hyperlink" Target="https://www.fatsecret.com.mx/calor%C3%ADas-nutrici%C3%B3n/gen%C3%A9rico/coraz%C3%B3n-de-pollo" TargetMode="External"/><Relationship Id="rId144" Type="http://schemas.openxmlformats.org/officeDocument/2006/relationships/hyperlink" Target="https://www.fatsecret.com.mx/calor%C3%ADas-nutrici%C3%B3n/gen%C3%A9rico/az%C3%BAcar-morena?portionid=62289&amp;portionamount=100,000" TargetMode="External"/><Relationship Id="rId90" Type="http://schemas.openxmlformats.org/officeDocument/2006/relationships/hyperlink" Target="https://articulo.mercadolibre.com.co/MCO-610097497-manteca-de-cerdo-por-libra-_JM" TargetMode="External"/><Relationship Id="rId165" Type="http://schemas.openxmlformats.org/officeDocument/2006/relationships/hyperlink" Target="https://www.icbf.gov.co/system/files/tcac_web.pdf" TargetMode="External"/><Relationship Id="rId186" Type="http://schemas.openxmlformats.org/officeDocument/2006/relationships/hyperlink" Target="https://www.exito.com/cebada-perlada-500-gr-750376/p" TargetMode="External"/><Relationship Id="rId27" Type="http://schemas.openxmlformats.org/officeDocument/2006/relationships/hyperlink" Target="https://mercplaza.com/Naranja-Valencia-X-1-Libra-p341623247" TargetMode="External"/><Relationship Id="rId48" Type="http://schemas.openxmlformats.org/officeDocument/2006/relationships/hyperlink" Target="https://mercplaza.com/Mazorca-Desgranada-X-1-Libra-p341623327" TargetMode="External"/><Relationship Id="rId69" Type="http://schemas.openxmlformats.org/officeDocument/2006/relationships/hyperlink" Target="https://www.exito.com/pechuga-marinada-281746/p" TargetMode="External"/><Relationship Id="rId113" Type="http://schemas.openxmlformats.org/officeDocument/2006/relationships/hyperlink" Target="https://www.icbf.gov.co/system/files/tcac_web.pdf" TargetMode="External"/><Relationship Id="rId134" Type="http://schemas.openxmlformats.org/officeDocument/2006/relationships/hyperlink" Target="https://www.fatsecret.com.mx/calor%C3%ADas-nutrici%C3%B3n/gen%C3%A9rico/queso-coste%C3%B1o" TargetMode="External"/><Relationship Id="rId80" Type="http://schemas.openxmlformats.org/officeDocument/2006/relationships/hyperlink" Target="https://www.exito.com/queso-campesino-empacado-al-vacio-x-250-gr-433118/p" TargetMode="External"/><Relationship Id="rId155" Type="http://schemas.openxmlformats.org/officeDocument/2006/relationships/hyperlink" Target="https://www.fatsecret.com.mx/calor%C3%ADas-nutrici%C3%B3n/gen%C3%A9rico/or%C3%A9gano?portionid=56620&amp;portionamount=100,000" TargetMode="External"/><Relationship Id="rId176" Type="http://schemas.openxmlformats.org/officeDocument/2006/relationships/hyperlink" Target="https://www.olimpica.com/pez-bocachico-criollo-of-24035002/p" TargetMode="External"/><Relationship Id="rId17" Type="http://schemas.openxmlformats.org/officeDocument/2006/relationships/hyperlink" Target="https://www.exito.com/uva-isabella-x-500gr-14021/p" TargetMode="External"/><Relationship Id="rId38" Type="http://schemas.openxmlformats.org/officeDocument/2006/relationships/hyperlink" Target="https://mercplaza.com/Coco-1-Unidad-X-1-Libra-p341623181" TargetMode="External"/><Relationship Id="rId59" Type="http://schemas.openxmlformats.org/officeDocument/2006/relationships/hyperlink" Target="https://mercplaza.com/Papa-Criolla-X-1-Libra-p341623319" TargetMode="External"/><Relationship Id="rId103" Type="http://schemas.openxmlformats.org/officeDocument/2006/relationships/hyperlink" Target="https://www.exito.com/albahaca-fresca-capuchon-390662/p" TargetMode="External"/><Relationship Id="rId124" Type="http://schemas.openxmlformats.org/officeDocument/2006/relationships/hyperlink" Target="https://www.fatsecret.com.mx/calor%C3%ADas-nutrici%C3%B3n/gen%C3%A9rico/costillas-de-cerdo?portionid=50206&amp;portionamount=100,000" TargetMode="External"/><Relationship Id="rId70" Type="http://schemas.openxmlformats.org/officeDocument/2006/relationships/hyperlink" Target="https://www.exito.com/costilla-cerdo-68477/p" TargetMode="External"/><Relationship Id="rId91" Type="http://schemas.openxmlformats.org/officeDocument/2006/relationships/hyperlink" Target="https://www.pricesmart.com/site/co/es/pagina-producto/1250" TargetMode="External"/><Relationship Id="rId145" Type="http://schemas.openxmlformats.org/officeDocument/2006/relationships/hyperlink" Target="https://www.fatsecret.com.mx/calor%C3%ADas-nutrici%C3%B3n/gen%C3%A9rico/caf%C3%A9-instant%C3%A1neo?portionid=56019&amp;portionamount=100,000" TargetMode="External"/><Relationship Id="rId166" Type="http://schemas.openxmlformats.org/officeDocument/2006/relationships/hyperlink" Target="https://www.rankia.co/blog/dian/3939697-iva-canasta-familiar-2021-productos-tarifas" TargetMode="External"/><Relationship Id="rId187" Type="http://schemas.openxmlformats.org/officeDocument/2006/relationships/hyperlink" Target="https://www.colombia.com/vida-sana/nutricion/propiedades-y-beneficios-de-los-cubios-238307" TargetMode="External"/><Relationship Id="rId1" Type="http://schemas.openxmlformats.org/officeDocument/2006/relationships/hyperlink" Target="https://www.tiendasjumbo.co/arroz-diana-x-5-kg/p" TargetMode="External"/><Relationship Id="rId28" Type="http://schemas.openxmlformats.org/officeDocument/2006/relationships/hyperlink" Target="https://mercplaza.com/Mora-X-1-Libra-p341623245" TargetMode="External"/><Relationship Id="rId49" Type="http://schemas.openxmlformats.org/officeDocument/2006/relationships/hyperlink" Target="https://mercplaza.com/Lechuga-Lisa-X-1-UND-Aprox-250-Grs-p341623236" TargetMode="External"/><Relationship Id="rId114" Type="http://schemas.openxmlformats.org/officeDocument/2006/relationships/hyperlink" Target="https://mercplaza.com/Aguacate-Papelillo-X-1-Libra-p341623184" TargetMode="External"/><Relationship Id="rId60" Type="http://schemas.openxmlformats.org/officeDocument/2006/relationships/hyperlink" Target="https://mercplaza.com/Jengibre-X-250-Gramos-p341623132" TargetMode="External"/><Relationship Id="rId81" Type="http://schemas.openxmlformats.org/officeDocument/2006/relationships/hyperlink" Target="https://www.exito.com/queso-costeno-bloque-colanta-500-gramos-3007075/p" TargetMode="External"/><Relationship Id="rId135" Type="http://schemas.openxmlformats.org/officeDocument/2006/relationships/hyperlink" Target="https://www.fatsecret.com.mx/calor%C3%ADas-nutrici%C3%B3n/chilchota/queso-doble-crema/1-porci%C3%B3n" TargetMode="External"/><Relationship Id="rId156" Type="http://schemas.openxmlformats.org/officeDocument/2006/relationships/hyperlink" Target="https://www.fatsecret.com.mx/calor%C3%ADas-nutrici%C3%B3n/gen%C3%A9rico/perejil?portionid=59188&amp;portionamount=100,000" TargetMode="External"/><Relationship Id="rId177" Type="http://schemas.openxmlformats.org/officeDocument/2006/relationships/hyperlink" Target="https://mercplaza.com/Brevas-X-1-Libra-p371666020"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outlinePr showOutlineSymbols="0"/>
  </sheetPr>
  <dimension ref="C1:P49"/>
  <sheetViews>
    <sheetView showGridLines="0" showRowColHeaders="0" showZeros="0" tabSelected="1" showOutlineSymbols="0" topLeftCell="B1" zoomScaleNormal="100" workbookViewId="0">
      <selection activeCell="G2" sqref="G2:N2"/>
    </sheetView>
  </sheetViews>
  <sheetFormatPr baseColWidth="10" defaultColWidth="8.7109375" defaultRowHeight="15.75"/>
  <cols>
    <col min="1" max="4" width="8.7109375" style="306"/>
    <col min="5" max="5" width="26.7109375" style="306" customWidth="1"/>
    <col min="6" max="6" width="57.7109375" style="333" customWidth="1"/>
    <col min="7" max="10" width="8.7109375" style="306"/>
    <col min="11" max="11" width="1.140625" style="306" customWidth="1"/>
    <col min="12" max="14" width="8.7109375" style="306"/>
    <col min="15" max="15" width="1.42578125" style="306" customWidth="1"/>
    <col min="16" max="16" width="13" style="306" customWidth="1"/>
    <col min="17" max="16384" width="8.7109375" style="306"/>
  </cols>
  <sheetData>
    <row r="1" spans="6:16" ht="10.5" customHeight="1"/>
    <row r="2" spans="6:16" ht="26.25">
      <c r="F2" s="334" t="s">
        <v>460</v>
      </c>
      <c r="G2" s="497" t="s">
        <v>461</v>
      </c>
      <c r="H2" s="497"/>
      <c r="I2" s="497"/>
      <c r="J2" s="497"/>
      <c r="K2" s="497"/>
      <c r="L2" s="497"/>
      <c r="M2" s="497"/>
      <c r="N2" s="497"/>
    </row>
    <row r="3" spans="6:16" ht="18" customHeight="1">
      <c r="F3" s="335"/>
      <c r="G3" s="336"/>
      <c r="H3" s="336"/>
      <c r="I3" s="336"/>
      <c r="J3" s="336"/>
      <c r="K3" s="336"/>
      <c r="L3" s="336"/>
      <c r="M3" s="336"/>
      <c r="N3" s="336"/>
    </row>
    <row r="4" spans="6:16" ht="16.5" customHeight="1">
      <c r="F4" s="337" t="s">
        <v>0</v>
      </c>
      <c r="G4" s="493" t="s">
        <v>462</v>
      </c>
      <c r="H4" s="493"/>
      <c r="I4" s="493"/>
      <c r="J4" s="493"/>
      <c r="K4" s="336"/>
      <c r="L4" s="493" t="s">
        <v>471</v>
      </c>
      <c r="M4" s="493"/>
      <c r="N4" s="493"/>
      <c r="P4" s="467" t="s">
        <v>472</v>
      </c>
    </row>
    <row r="5" spans="6:16" ht="6" customHeight="1">
      <c r="F5" s="335"/>
      <c r="G5" s="338"/>
      <c r="H5" s="338"/>
      <c r="I5" s="338"/>
      <c r="J5" s="338"/>
      <c r="K5" s="336"/>
      <c r="L5" s="338"/>
      <c r="M5" s="338"/>
      <c r="N5" s="338"/>
    </row>
    <row r="6" spans="6:16">
      <c r="F6" s="335"/>
      <c r="G6" s="493" t="s">
        <v>463</v>
      </c>
      <c r="H6" s="493"/>
      <c r="I6" s="493"/>
      <c r="J6" s="493"/>
      <c r="K6" s="336"/>
      <c r="L6" s="493" t="s">
        <v>471</v>
      </c>
      <c r="M6" s="493"/>
      <c r="N6" s="493"/>
      <c r="P6" s="467" t="s">
        <v>472</v>
      </c>
    </row>
    <row r="7" spans="6:16" ht="6" customHeight="1">
      <c r="F7" s="335"/>
      <c r="G7" s="338"/>
      <c r="H7" s="338"/>
      <c r="I7" s="338"/>
      <c r="J7" s="338"/>
      <c r="K7" s="336"/>
      <c r="L7" s="338"/>
      <c r="M7" s="338"/>
      <c r="N7" s="338"/>
    </row>
    <row r="8" spans="6:16">
      <c r="F8" s="335"/>
      <c r="G8" s="493" t="s">
        <v>464</v>
      </c>
      <c r="H8" s="493"/>
      <c r="I8" s="493"/>
      <c r="J8" s="493"/>
      <c r="K8" s="336"/>
      <c r="L8" s="493" t="s">
        <v>471</v>
      </c>
      <c r="M8" s="493"/>
      <c r="N8" s="493"/>
      <c r="P8" s="467" t="s">
        <v>472</v>
      </c>
    </row>
    <row r="9" spans="6:16" ht="6" customHeight="1">
      <c r="F9" s="335"/>
      <c r="G9" s="338"/>
      <c r="H9" s="338"/>
      <c r="I9" s="338"/>
      <c r="J9" s="338"/>
      <c r="K9" s="336"/>
      <c r="L9" s="338"/>
      <c r="M9" s="338"/>
      <c r="N9" s="338"/>
    </row>
    <row r="10" spans="6:16">
      <c r="F10" s="335"/>
      <c r="G10" s="493" t="s">
        <v>476</v>
      </c>
      <c r="H10" s="493"/>
      <c r="I10" s="493"/>
      <c r="J10" s="493"/>
      <c r="K10" s="336"/>
      <c r="L10" s="493" t="s">
        <v>471</v>
      </c>
      <c r="M10" s="493"/>
      <c r="N10" s="493"/>
      <c r="P10" s="467" t="s">
        <v>472</v>
      </c>
    </row>
    <row r="11" spans="6:16" ht="18" customHeight="1">
      <c r="F11" s="335"/>
      <c r="G11" s="338"/>
      <c r="H11" s="338"/>
      <c r="I11" s="338"/>
      <c r="J11" s="338"/>
      <c r="K11" s="336"/>
      <c r="L11" s="338"/>
      <c r="M11" s="338"/>
      <c r="N11" s="338"/>
    </row>
    <row r="12" spans="6:16" ht="18.75">
      <c r="F12" s="337" t="s">
        <v>1</v>
      </c>
      <c r="G12" s="498" t="s">
        <v>465</v>
      </c>
      <c r="H12" s="498"/>
      <c r="I12" s="498"/>
      <c r="J12" s="498"/>
      <c r="K12" s="498"/>
      <c r="L12" s="498"/>
      <c r="M12" s="498"/>
      <c r="N12" s="498"/>
    </row>
    <row r="13" spans="6:16">
      <c r="F13" s="335"/>
      <c r="G13" s="336"/>
      <c r="H13" s="336"/>
      <c r="I13" s="336"/>
      <c r="J13" s="336"/>
      <c r="K13" s="336"/>
      <c r="L13" s="336"/>
      <c r="M13" s="336"/>
      <c r="N13" s="336"/>
    </row>
    <row r="14" spans="6:16" ht="18.75">
      <c r="F14" s="337" t="s">
        <v>2</v>
      </c>
      <c r="G14" s="493" t="s">
        <v>466</v>
      </c>
      <c r="H14" s="493"/>
      <c r="I14" s="493"/>
      <c r="J14" s="493"/>
      <c r="K14" s="493"/>
      <c r="L14" s="493"/>
      <c r="M14" s="493"/>
      <c r="N14" s="493"/>
    </row>
    <row r="15" spans="6:16">
      <c r="F15" s="335"/>
      <c r="G15" s="336"/>
      <c r="H15" s="336"/>
      <c r="I15" s="336"/>
      <c r="J15" s="336"/>
      <c r="K15" s="336"/>
      <c r="L15" s="336"/>
      <c r="M15" s="336"/>
      <c r="N15" s="336"/>
    </row>
    <row r="16" spans="6:16" ht="18.75">
      <c r="F16" s="500" t="s">
        <v>484</v>
      </c>
      <c r="G16" s="500"/>
      <c r="H16" s="500"/>
      <c r="I16" s="500"/>
      <c r="J16" s="500"/>
      <c r="K16" s="500"/>
      <c r="L16" s="500"/>
      <c r="M16" s="500"/>
      <c r="N16" s="500"/>
    </row>
    <row r="17" spans="3:14">
      <c r="F17" s="491" t="s">
        <v>477</v>
      </c>
      <c r="G17" s="499" t="s">
        <v>467</v>
      </c>
      <c r="H17" s="499"/>
      <c r="I17" s="499"/>
      <c r="J17" s="499"/>
      <c r="K17" s="499"/>
      <c r="L17" s="499"/>
      <c r="M17" s="499"/>
      <c r="N17" s="499"/>
    </row>
    <row r="18" spans="3:14" ht="6" customHeight="1">
      <c r="F18" s="335"/>
      <c r="G18" s="339"/>
      <c r="H18" s="339"/>
      <c r="I18" s="336"/>
      <c r="J18" s="336"/>
      <c r="K18" s="336"/>
      <c r="L18" s="336"/>
      <c r="M18" s="336"/>
      <c r="N18" s="336"/>
    </row>
    <row r="19" spans="3:14">
      <c r="F19" s="335"/>
      <c r="G19" s="499" t="s">
        <v>467</v>
      </c>
      <c r="H19" s="499"/>
      <c r="I19" s="499"/>
      <c r="J19" s="499"/>
      <c r="K19" s="499"/>
      <c r="L19" s="499"/>
      <c r="M19" s="499"/>
      <c r="N19" s="499"/>
    </row>
    <row r="20" spans="3:14" ht="6" customHeight="1">
      <c r="F20" s="335"/>
      <c r="G20" s="339"/>
      <c r="H20" s="339"/>
      <c r="I20" s="336"/>
      <c r="J20" s="336"/>
      <c r="K20" s="336"/>
      <c r="L20" s="336"/>
      <c r="M20" s="336"/>
      <c r="N20" s="336"/>
    </row>
    <row r="21" spans="3:14">
      <c r="F21" s="335"/>
      <c r="G21" s="499" t="s">
        <v>467</v>
      </c>
      <c r="H21" s="499"/>
      <c r="I21" s="499"/>
      <c r="J21" s="499"/>
      <c r="K21" s="499"/>
      <c r="L21" s="499"/>
      <c r="M21" s="499"/>
      <c r="N21" s="499"/>
    </row>
    <row r="22" spans="3:14" ht="6" customHeight="1">
      <c r="F22" s="335"/>
      <c r="G22" s="339"/>
      <c r="H22" s="339"/>
      <c r="I22" s="339"/>
      <c r="J22" s="339"/>
      <c r="K22" s="339"/>
      <c r="L22" s="339"/>
      <c r="M22" s="339"/>
      <c r="N22" s="339"/>
    </row>
    <row r="23" spans="3:14">
      <c r="C23" s="482"/>
      <c r="D23" s="482"/>
      <c r="E23" s="482"/>
      <c r="F23" s="335" t="s">
        <v>480</v>
      </c>
      <c r="G23" s="496" t="s">
        <v>470</v>
      </c>
      <c r="H23" s="496"/>
      <c r="I23" s="496"/>
      <c r="J23" s="496"/>
      <c r="K23" s="496"/>
      <c r="L23" s="496"/>
      <c r="M23" s="496"/>
      <c r="N23" s="496"/>
    </row>
    <row r="24" spans="3:14" ht="23.25">
      <c r="C24" s="482"/>
      <c r="D24" s="482"/>
      <c r="E24" s="482"/>
      <c r="G24" s="495"/>
      <c r="H24" s="495"/>
      <c r="I24" s="495"/>
      <c r="J24" s="495"/>
      <c r="K24" s="495"/>
      <c r="L24" s="495"/>
      <c r="M24" s="495"/>
      <c r="N24" s="495"/>
    </row>
    <row r="25" spans="3:14">
      <c r="C25" s="482"/>
      <c r="D25" s="482"/>
      <c r="E25" s="482"/>
    </row>
    <row r="26" spans="3:14">
      <c r="C26" s="482"/>
      <c r="D26" s="482"/>
      <c r="E26" s="482"/>
    </row>
    <row r="27" spans="3:14">
      <c r="C27" s="482"/>
      <c r="D27" s="482"/>
      <c r="E27" s="482"/>
    </row>
    <row r="33" spans="5:6" ht="18.75">
      <c r="E33" s="494" t="s">
        <v>478</v>
      </c>
      <c r="F33" s="494"/>
    </row>
    <row r="34" spans="5:6">
      <c r="E34" s="492" t="s">
        <v>33</v>
      </c>
      <c r="F34" s="490" t="s">
        <v>483</v>
      </c>
    </row>
    <row r="35" spans="5:6">
      <c r="E35" s="492" t="s">
        <v>55</v>
      </c>
      <c r="F35" s="490" t="s">
        <v>483</v>
      </c>
    </row>
    <row r="36" spans="5:6">
      <c r="E36" s="492" t="s">
        <v>78</v>
      </c>
      <c r="F36" s="490" t="s">
        <v>483</v>
      </c>
    </row>
    <row r="37" spans="5:6">
      <c r="E37" s="492" t="s">
        <v>80</v>
      </c>
      <c r="F37" s="490" t="s">
        <v>483</v>
      </c>
    </row>
    <row r="38" spans="5:6">
      <c r="E38" s="492" t="s">
        <v>83</v>
      </c>
      <c r="F38" s="490" t="s">
        <v>483</v>
      </c>
    </row>
    <row r="39" spans="5:6">
      <c r="E39" s="492" t="s">
        <v>92</v>
      </c>
      <c r="F39" s="490" t="s">
        <v>483</v>
      </c>
    </row>
    <row r="40" spans="5:6">
      <c r="E40" s="492" t="s">
        <v>95</v>
      </c>
      <c r="F40" s="490" t="s">
        <v>483</v>
      </c>
    </row>
    <row r="41" spans="5:6">
      <c r="E41" s="492" t="s">
        <v>106</v>
      </c>
      <c r="F41" s="490" t="s">
        <v>483</v>
      </c>
    </row>
    <row r="42" spans="5:6">
      <c r="E42" s="492" t="s">
        <v>108</v>
      </c>
      <c r="F42" s="490" t="s">
        <v>483</v>
      </c>
    </row>
    <row r="43" spans="5:6">
      <c r="E43" s="492" t="s">
        <v>110</v>
      </c>
      <c r="F43" s="490" t="s">
        <v>483</v>
      </c>
    </row>
    <row r="44" spans="5:6">
      <c r="E44" s="492" t="s">
        <v>131</v>
      </c>
      <c r="F44" s="490" t="s">
        <v>483</v>
      </c>
    </row>
    <row r="45" spans="5:6">
      <c r="E45" s="492" t="s">
        <v>147</v>
      </c>
      <c r="F45" s="490" t="s">
        <v>483</v>
      </c>
    </row>
    <row r="46" spans="5:6">
      <c r="E46" s="492" t="s">
        <v>156</v>
      </c>
      <c r="F46" s="490" t="s">
        <v>483</v>
      </c>
    </row>
    <row r="47" spans="5:6">
      <c r="E47" s="492" t="s">
        <v>182</v>
      </c>
      <c r="F47" s="490" t="s">
        <v>483</v>
      </c>
    </row>
    <row r="48" spans="5:6">
      <c r="E48" s="492" t="s">
        <v>224</v>
      </c>
      <c r="F48" s="490" t="s">
        <v>483</v>
      </c>
    </row>
    <row r="49" spans="5:6">
      <c r="E49" s="492" t="s">
        <v>241</v>
      </c>
      <c r="F49" s="490" t="s">
        <v>483</v>
      </c>
    </row>
  </sheetData>
  <sheetProtection algorithmName="SHA-512" hashValue="LlyjEE3OTJmOJqf0HVoHS9d1QPU2T8DwgbB222Ugjj5zoxOcrE3CuRjeHMevppMlbEC5iOZJl1zJliQirNnwvw==" saltValue="cJaoErYowhFI7Xrg52v+GQ==" spinCount="100000" sheet="1" objects="1" scenarios="1" selectLockedCells="1"/>
  <mergeCells count="18">
    <mergeCell ref="G2:N2"/>
    <mergeCell ref="G12:N12"/>
    <mergeCell ref="G14:N14"/>
    <mergeCell ref="G17:N17"/>
    <mergeCell ref="G19:N19"/>
    <mergeCell ref="G4:J4"/>
    <mergeCell ref="G6:J6"/>
    <mergeCell ref="G8:J8"/>
    <mergeCell ref="G10:J10"/>
    <mergeCell ref="F16:N16"/>
    <mergeCell ref="L4:N4"/>
    <mergeCell ref="L6:N6"/>
    <mergeCell ref="L8:N8"/>
    <mergeCell ref="L10:N10"/>
    <mergeCell ref="E33:F33"/>
    <mergeCell ref="G24:N24"/>
    <mergeCell ref="G23:N23"/>
    <mergeCell ref="G21:N21"/>
  </mergeCells>
  <dataValidations count="1">
    <dataValidation type="list" errorStyle="warning" allowBlank="1" showInputMessage="1" showErrorMessage="1" errorTitle="CATEGORÍA" error="Debe escoger una de las opciones." promptTitle="CATEGORÍA" prompt="Seleccione una opción" sqref="G12:N12">
      <formula1>"Despliega la lista y selecciona, Desayuno, Snack, Plato Fuerte, Cero Desperdicios"</formula1>
    </dataValidation>
  </dataValidations>
  <hyperlinks>
    <hyperlink ref="F45" r:id="rId1" display="Click aquí"/>
    <hyperlink ref="F47" r:id="rId2" display="Click aquí"/>
    <hyperlink ref="F49" r:id="rId3" display="Click aquí"/>
    <hyperlink ref="F34" r:id="rId4" display="Click aquí"/>
    <hyperlink ref="F36" r:id="rId5" display="Click aquí"/>
    <hyperlink ref="F37" r:id="rId6" display="Click aquí"/>
    <hyperlink ref="F39" r:id="rId7" location=":~:text=El%20carambolo%20o%20fruta%20estrella,cocinas%20de%20de%20los%20barrios." display="Click aquí"/>
    <hyperlink ref="F41" r:id="rId8" display="Click aquí"/>
    <hyperlink ref="F43" r:id="rId9" display="Click aquí"/>
    <hyperlink ref="F46" r:id="rId10" location=":~:text=Sag%C3%BA%20o%20sabudana%20es%20un,deriva%20en%20forma%20de%20almid%C3%B3n.&amp;text=Es%20un%20alimento%20que%20poseen,es%20muy%20f%C3%A1cil%20de%20digerir." display="Click aquí"/>
    <hyperlink ref="F48" r:id="rId11" display="Click aquí"/>
    <hyperlink ref="F35" r:id="rId12" display="Click aquí"/>
    <hyperlink ref="F42" r:id="rId13" display="Click aquí"/>
    <hyperlink ref="F38" r:id="rId14" display="Click aquí"/>
    <hyperlink ref="F40" r:id="rId15" display="Click aquí"/>
    <hyperlink ref="F44" r:id="rId16" display="Click aquí"/>
    <hyperlink ref="F17" location="BIENVENIDOS!E34" tooltip="IR A INGREDIENTES LOCALES" display="Ingrediente(s) local(es) que puedes usar:"/>
  </hyperlinks>
  <pageMargins left="0.7" right="0.7" top="0.75" bottom="0.75" header="0.3" footer="0.3"/>
  <pageSetup orientation="portrait" verticalDpi="0" r:id="rId17"/>
  <drawing r:id="rId18"/>
  <extLst>
    <ext xmlns:x14="http://schemas.microsoft.com/office/spreadsheetml/2009/9/main" uri="{CCE6A557-97BC-4b89-ADB6-D9C93CAAB3DF}">
      <x14:dataValidations xmlns:xm="http://schemas.microsoft.com/office/excel/2006/main" count="2">
        <x14:dataValidation type="list" allowBlank="1" showInputMessage="1" showErrorMessage="1" promptTitle="INGREDIENTE LOCAL A USAR" prompt="Selecciona mínimo un ingrediente, máximo 3">
          <x14:formula1>
            <xm:f>INGREDIENTES!$T$6:$T$22</xm:f>
          </x14:formula1>
          <xm:sqref>G17:N17</xm:sqref>
        </x14:dataValidation>
        <x14:dataValidation type="list" allowBlank="1" showInputMessage="1" showErrorMessage="1">
          <x14:formula1>
            <xm:f>INGREDIENTES!$U$6:$U$23</xm:f>
          </x14:formula1>
          <xm:sqref>G19:N19 G21:N21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L55"/>
  <sheetViews>
    <sheetView showGridLines="0" showRowColHeaders="0" showZeros="0" zoomScale="80" zoomScaleNormal="80" workbookViewId="0">
      <selection activeCell="C9" sqref="C9"/>
    </sheetView>
  </sheetViews>
  <sheetFormatPr baseColWidth="10" defaultColWidth="11.42578125" defaultRowHeight="15.75"/>
  <cols>
    <col min="1" max="1" width="3.7109375" style="306" bestFit="1" customWidth="1"/>
    <col min="2" max="2" width="33" style="306" customWidth="1"/>
    <col min="3" max="3" width="33.7109375" style="306" customWidth="1"/>
    <col min="4" max="4" width="23.140625" style="306" bestFit="1" customWidth="1"/>
    <col min="5" max="5" width="19.85546875" style="306" customWidth="1"/>
    <col min="6" max="6" width="2" style="306" customWidth="1"/>
    <col min="7" max="12" width="19.85546875" style="306" customWidth="1"/>
    <col min="13" max="16384" width="11.42578125" style="306"/>
  </cols>
  <sheetData>
    <row r="1" spans="1:12" ht="23.25">
      <c r="B1" s="461" t="s">
        <v>271</v>
      </c>
      <c r="C1" s="461" t="s">
        <v>272</v>
      </c>
      <c r="D1" s="460"/>
      <c r="E1" s="460"/>
      <c r="F1" s="307"/>
      <c r="G1" s="505" t="s">
        <v>273</v>
      </c>
      <c r="H1" s="505"/>
      <c r="I1" s="505"/>
      <c r="J1" s="505"/>
      <c r="K1" s="505"/>
      <c r="L1" s="505"/>
    </row>
    <row r="2" spans="1:12" ht="42">
      <c r="B2" s="308" t="str">
        <f>BIENVENIDOS!G14</f>
        <v>Escribe el nombre de tu receta</v>
      </c>
      <c r="C2" s="340" t="str">
        <f>BIENVENIDOS!G12</f>
        <v>Despliegue la lista y seleccione</v>
      </c>
      <c r="D2" s="460"/>
      <c r="E2" s="460"/>
      <c r="G2" s="475" t="s">
        <v>316</v>
      </c>
      <c r="H2" s="475" t="s">
        <v>275</v>
      </c>
      <c r="I2" s="475" t="s">
        <v>23</v>
      </c>
      <c r="J2" s="475" t="s">
        <v>276</v>
      </c>
      <c r="K2" s="475" t="s">
        <v>277</v>
      </c>
      <c r="L2" s="475" t="s">
        <v>278</v>
      </c>
    </row>
    <row r="3" spans="1:12" ht="66.75">
      <c r="B3" s="489" t="s">
        <v>279</v>
      </c>
      <c r="C3" s="460"/>
      <c r="D3" s="460"/>
      <c r="E3" s="460"/>
      <c r="G3" s="418" t="str">
        <f>IF(AND(ANÁLISIS!F37&gt;=10,ANÁLISIS!F37&lt;=15),"Perfecto",IF(ANÁLISIS!F37&lt;=10,"Aumenta la cantidad de alimentos altos en proteína",IF(ANÁLISIS!F37&gt;=15,"Puedes disminuir la cantidad de proteína")))</f>
        <v>Puedes disminuir la cantidad de proteína</v>
      </c>
      <c r="H3" s="418" t="str">
        <f>IF(AND(ANÁLISIS!F36&gt;=50,ANÁLISIS!F36&lt;=70),"Perfecto", IF(ANÁLISIS!F36&lt;=50,"Aumenta la cantidad de alimentos altos en carbohidratos", IF(ANÁLISIS!F36&gt;=70,"Puedes disminuir la cantidad de carbohidratos")))</f>
        <v>Puedes disminuir la cantidad de carbohidratos</v>
      </c>
      <c r="I3" s="418" t="str">
        <f>IF(AND(ANÁLISIS!F38&gt;=30,ANÁLISIS!F38&lt;=35),"Perfecto", IF(ANÁLISIS!F38&lt;=30,"Aumenta la cantidad de ingredientes altos en grasas buenas", IF(ANÁLISIS!F38&gt;=70,"Puedes disminuir la cantidad de ingredientes grasos")))</f>
        <v>Puedes disminuir la cantidad de ingredientes grasos</v>
      </c>
      <c r="J3" s="418" t="str">
        <f>IF(AND(ANÁLISIS!F39&gt;=5,ANÁLISIS!F39&lt;=7),"Perfecto",IF(ANÁLISIS!F39&lt;=5,"Aumenta la cantidad de alimentos altos en fibra",IF(ANÁLISIS!F39&gt;=7,"Disminuye la cantidad de fibra")))</f>
        <v>Aumenta la cantidad de alimentos altos en fibra</v>
      </c>
      <c r="K3" s="418" t="str">
        <f>IF(AND(ANÁLISIS!F36&gt;=440,ANÁLISIS!F36&lt;=460),"Perfecto",IF(ANÁLISIS!F36&lt;=440,"Aumenta el consumo de sal",IF(ANÁLISIS!F36&gt;=460,"Debes disminuir la cantidad de sal utilizada")))</f>
        <v>Debes disminuir la cantidad de sal utilizada</v>
      </c>
      <c r="L3" s="418" t="str">
        <f>IF(AND(ANÁLISIS!F44&lt;ANÁLISIS!E44,ANÁLISIS!F44&gt;ANÁLISIS!D44),"Perfecto",IF(ANÁLISIS!F44&lt;=ANÁLISIS!D44,"Necesitas alimentos que aporten más energía",IF(ANÁLISIS!F44&gt;=ANÁLISIS!E44,"Estás superando tu consumo calórico para una alimentación promedio de 2.000 calorías diarias")))</f>
        <v>Necesitas alimentos que aporten más energía</v>
      </c>
    </row>
    <row r="4" spans="1:12" ht="56.25">
      <c r="B4" s="470" t="s">
        <v>473</v>
      </c>
      <c r="C4" s="470" t="s">
        <v>474</v>
      </c>
    </row>
    <row r="5" spans="1:12" ht="6" customHeight="1"/>
    <row r="6" spans="1:12" ht="23.25">
      <c r="B6" s="473" t="s">
        <v>281</v>
      </c>
      <c r="C6" s="474" t="s">
        <v>481</v>
      </c>
      <c r="D6" s="309"/>
    </row>
    <row r="7" spans="1:12" ht="39.75" customHeight="1">
      <c r="B7" s="476" t="s">
        <v>282</v>
      </c>
      <c r="C7" s="476" t="s">
        <v>283</v>
      </c>
      <c r="D7" s="476" t="s">
        <v>284</v>
      </c>
      <c r="E7" s="477" t="s">
        <v>468</v>
      </c>
      <c r="F7" s="460"/>
      <c r="G7" s="487" t="s">
        <v>286</v>
      </c>
      <c r="H7" s="487" t="s">
        <v>287</v>
      </c>
      <c r="I7" s="488" t="s">
        <v>288</v>
      </c>
    </row>
    <row r="8" spans="1:12">
      <c r="A8" s="468" t="s">
        <v>489</v>
      </c>
      <c r="B8" s="478" t="s">
        <v>250</v>
      </c>
      <c r="C8" s="479" t="s">
        <v>469</v>
      </c>
      <c r="D8" s="480">
        <v>80</v>
      </c>
      <c r="E8" s="481" t="s">
        <v>22</v>
      </c>
      <c r="G8" s="486" t="str">
        <f>IF(C2="Desayuno", "$9.000", IF(C2= "Snack", "$8.000", IF(C2= "Plato fuerte", "$10.000", "$8.000")))</f>
        <v>$8.000</v>
      </c>
      <c r="H8" s="419">
        <f>G8-ANÁLISIS!G31</f>
        <v>8000</v>
      </c>
      <c r="I8" s="485">
        <f>ANÁLISIS!J39</f>
        <v>0</v>
      </c>
    </row>
    <row r="9" spans="1:12">
      <c r="B9" s="458" t="str">
        <f>BIENVENIDOS!$G$17</f>
        <v>Despliega la lista y selecciona</v>
      </c>
      <c r="C9" s="417"/>
      <c r="D9" s="311"/>
      <c r="E9" s="310" t="str">
        <f>IFERROR(VLOOKUP(B9,INGREDIENTES!$C$7:$H$141,3, FALSE)," ")</f>
        <v xml:space="preserve"> </v>
      </c>
    </row>
    <row r="10" spans="1:12">
      <c r="B10" s="458" t="str">
        <f>BIENVENIDOS!$G$19</f>
        <v>Despliega la lista y selecciona</v>
      </c>
      <c r="C10" s="417"/>
      <c r="D10" s="311"/>
      <c r="E10" s="310" t="str">
        <f>IFERROR(VLOOKUP(B10,INGREDIENTES!$C$7:$H$141,3, FALSE)," ")</f>
        <v xml:space="preserve"> </v>
      </c>
    </row>
    <row r="11" spans="1:12">
      <c r="B11" s="458" t="str">
        <f>BIENVENIDOS!$G$21</f>
        <v>Despliega la lista y selecciona</v>
      </c>
      <c r="C11" s="417"/>
      <c r="D11" s="311"/>
      <c r="E11" s="310" t="str">
        <f>IFERROR(VLOOKUP(B11,INGREDIENTES!$C$7:$H$141,3, FALSE)," ")</f>
        <v xml:space="preserve"> </v>
      </c>
    </row>
    <row r="12" spans="1:12">
      <c r="A12" s="306">
        <v>1</v>
      </c>
      <c r="B12" s="416"/>
      <c r="C12" s="417"/>
      <c r="D12" s="311"/>
      <c r="E12" s="310" t="str">
        <f>IFERROR(VLOOKUP(B12,INGREDIENTES!$C$7:$H$141,3, FALSE)," ")</f>
        <v xml:space="preserve"> </v>
      </c>
    </row>
    <row r="13" spans="1:12">
      <c r="A13" s="306">
        <v>2</v>
      </c>
      <c r="B13" s="416"/>
      <c r="C13" s="417"/>
      <c r="D13" s="311"/>
      <c r="E13" s="310" t="str">
        <f>IFERROR(VLOOKUP(B13,INGREDIENTES!$C$7:$H$141,3, FALSE)," ")</f>
        <v xml:space="preserve"> </v>
      </c>
    </row>
    <row r="14" spans="1:12">
      <c r="A14" s="306">
        <v>3</v>
      </c>
      <c r="B14" s="416"/>
      <c r="C14" s="417"/>
      <c r="D14" s="311"/>
      <c r="E14" s="310" t="str">
        <f>IFERROR(VLOOKUP(B14,INGREDIENTES!$C$7:$H$141,3, FALSE)," ")</f>
        <v xml:space="preserve"> </v>
      </c>
    </row>
    <row r="15" spans="1:12">
      <c r="A15" s="306">
        <v>4</v>
      </c>
      <c r="B15" s="416"/>
      <c r="C15" s="417"/>
      <c r="D15" s="311"/>
      <c r="E15" s="310" t="str">
        <f>IFERROR(VLOOKUP(B15,INGREDIENTES!$C$7:$H$141,3, FALSE)," ")</f>
        <v xml:space="preserve"> </v>
      </c>
      <c r="J15" s="484" t="s">
        <v>486</v>
      </c>
    </row>
    <row r="16" spans="1:12">
      <c r="A16" s="306">
        <v>5</v>
      </c>
      <c r="B16" s="416"/>
      <c r="C16" s="417"/>
      <c r="D16" s="311"/>
      <c r="E16" s="310" t="str">
        <f>IFERROR(VLOOKUP(B16,INGREDIENTES!$C$7:$H$141,3, FALSE)," ")</f>
        <v xml:space="preserve"> </v>
      </c>
      <c r="J16" s="306" t="s">
        <v>487</v>
      </c>
    </row>
    <row r="17" spans="1:12">
      <c r="A17" s="306">
        <v>6</v>
      </c>
      <c r="B17" s="416"/>
      <c r="C17" s="417"/>
      <c r="D17" s="311"/>
      <c r="E17" s="310" t="str">
        <f>IFERROR(VLOOKUP(B17,INGREDIENTES!$C$7:$H$141,3, FALSE)," ")</f>
        <v xml:space="preserve"> </v>
      </c>
      <c r="G17" s="312"/>
      <c r="J17" s="306" t="s">
        <v>488</v>
      </c>
      <c r="K17" s="484"/>
    </row>
    <row r="18" spans="1:12">
      <c r="A18" s="306">
        <v>7</v>
      </c>
      <c r="B18" s="416"/>
      <c r="C18" s="417"/>
      <c r="D18" s="311"/>
      <c r="E18" s="310" t="str">
        <f>IFERROR(VLOOKUP(B18,INGREDIENTES!$C$7:$H$141,3, FALSE)," ")</f>
        <v xml:space="preserve"> </v>
      </c>
      <c r="J18" s="483" t="s">
        <v>485</v>
      </c>
    </row>
    <row r="19" spans="1:12">
      <c r="A19" s="306">
        <v>8</v>
      </c>
      <c r="B19" s="416"/>
      <c r="C19" s="417"/>
      <c r="D19" s="311"/>
      <c r="E19" s="310" t="str">
        <f>IFERROR(VLOOKUP(B19,INGREDIENTES!$C$7:$H$141,3, FALSE)," ")</f>
        <v xml:space="preserve"> </v>
      </c>
    </row>
    <row r="20" spans="1:12">
      <c r="A20" s="306">
        <v>9</v>
      </c>
      <c r="B20" s="416"/>
      <c r="C20" s="417"/>
      <c r="D20" s="311"/>
      <c r="E20" s="310" t="str">
        <f>IFERROR(VLOOKUP(B20,INGREDIENTES!$C$7:$H$141,3, FALSE)," ")</f>
        <v xml:space="preserve"> </v>
      </c>
    </row>
    <row r="21" spans="1:12">
      <c r="A21" s="306">
        <v>10</v>
      </c>
      <c r="B21" s="416"/>
      <c r="C21" s="417"/>
      <c r="D21" s="311"/>
      <c r="E21" s="310" t="str">
        <f>IFERROR(VLOOKUP(B21,INGREDIENTES!$C$7:$H$141,3, FALSE)," ")</f>
        <v xml:space="preserve"> </v>
      </c>
    </row>
    <row r="22" spans="1:12">
      <c r="A22" s="306">
        <v>11</v>
      </c>
      <c r="B22" s="416"/>
      <c r="C22" s="417"/>
      <c r="D22" s="311"/>
      <c r="E22" s="310" t="str">
        <f>IFERROR(VLOOKUP(B22,INGREDIENTES!$C$7:$H$141,3, FALSE)," ")</f>
        <v xml:space="preserve"> </v>
      </c>
      <c r="F22" s="307"/>
      <c r="L22" s="313"/>
    </row>
    <row r="23" spans="1:12" ht="16.5" customHeight="1">
      <c r="A23" s="306">
        <v>12</v>
      </c>
      <c r="B23" s="416"/>
      <c r="C23" s="417"/>
      <c r="D23" s="311"/>
      <c r="E23" s="310" t="str">
        <f>IFERROR(VLOOKUP(B23,INGREDIENTES!$C$7:$H$141,3, FALSE)," ")</f>
        <v xml:space="preserve"> </v>
      </c>
      <c r="F23" s="307"/>
      <c r="L23" s="314"/>
    </row>
    <row r="24" spans="1:12">
      <c r="A24" s="306">
        <v>13</v>
      </c>
      <c r="B24" s="416"/>
      <c r="C24" s="417"/>
      <c r="D24" s="311"/>
      <c r="E24" s="310" t="str">
        <f>IFERROR(VLOOKUP(B24,INGREDIENTES!$C$7:$H$141,3, FALSE)," ")</f>
        <v xml:space="preserve"> </v>
      </c>
      <c r="F24" s="307"/>
    </row>
    <row r="25" spans="1:12">
      <c r="A25" s="306">
        <v>14</v>
      </c>
      <c r="B25" s="416"/>
      <c r="C25" s="417"/>
      <c r="D25" s="311"/>
      <c r="E25" s="310" t="str">
        <f>IFERROR(VLOOKUP(B25,INGREDIENTES!$C$7:$H$141,3, FALSE)," ")</f>
        <v xml:space="preserve"> </v>
      </c>
      <c r="F25" s="307"/>
    </row>
    <row r="26" spans="1:12">
      <c r="A26" s="306">
        <v>15</v>
      </c>
      <c r="B26" s="416"/>
      <c r="C26" s="417"/>
      <c r="D26" s="311"/>
      <c r="E26" s="310" t="str">
        <f>IFERROR(VLOOKUP(B26,INGREDIENTES!$C$7:$H$141,3, FALSE)," ")</f>
        <v xml:space="preserve"> </v>
      </c>
    </row>
    <row r="27" spans="1:12">
      <c r="A27" s="306">
        <v>16</v>
      </c>
      <c r="B27" s="416"/>
      <c r="C27" s="417"/>
      <c r="D27" s="311"/>
      <c r="E27" s="310" t="str">
        <f>IFERROR(VLOOKUP(B27,INGREDIENTES!$C$7:$H$141,3, FALSE)," ")</f>
        <v xml:space="preserve"> </v>
      </c>
    </row>
    <row r="28" spans="1:12">
      <c r="A28" s="306">
        <v>17</v>
      </c>
      <c r="B28" s="416"/>
      <c r="C28" s="417"/>
      <c r="D28" s="311"/>
      <c r="E28" s="310" t="str">
        <f>IFERROR(VLOOKUP(B28,INGREDIENTES!$C$7:$H$141,3, FALSE)," ")</f>
        <v xml:space="preserve"> </v>
      </c>
    </row>
    <row r="29" spans="1:12">
      <c r="A29" s="306">
        <v>18</v>
      </c>
      <c r="B29" s="416"/>
      <c r="C29" s="417"/>
      <c r="D29" s="311"/>
      <c r="E29" s="310" t="str">
        <f>IFERROR(VLOOKUP(B29,INGREDIENTES!$C$7:$H$141,3, FALSE)," ")</f>
        <v xml:space="preserve"> </v>
      </c>
    </row>
    <row r="30" spans="1:12">
      <c r="A30" s="306">
        <v>19</v>
      </c>
      <c r="B30" s="416"/>
      <c r="C30" s="417"/>
      <c r="D30" s="311"/>
      <c r="E30" s="310"/>
    </row>
    <row r="31" spans="1:12">
      <c r="A31" s="306">
        <v>20</v>
      </c>
      <c r="B31" s="416"/>
      <c r="C31" s="417"/>
      <c r="D31" s="311"/>
      <c r="E31" s="310" t="str">
        <f>IFERROR(VLOOKUP(B31,INGREDIENTES!$C$7:$H$141,3, FALSE)," ")</f>
        <v xml:space="preserve"> </v>
      </c>
    </row>
    <row r="34" spans="2:8" ht="23.25">
      <c r="B34" s="506" t="s">
        <v>280</v>
      </c>
      <c r="C34" s="507"/>
      <c r="D34" s="507"/>
      <c r="E34" s="507"/>
      <c r="F34" s="507"/>
      <c r="G34" s="507"/>
      <c r="H34" s="508"/>
    </row>
    <row r="35" spans="2:8">
      <c r="B35" s="422" t="s">
        <v>289</v>
      </c>
      <c r="C35" s="423" t="s">
        <v>290</v>
      </c>
      <c r="D35" s="509" t="s">
        <v>482</v>
      </c>
      <c r="E35" s="510"/>
      <c r="F35" s="510"/>
      <c r="G35" s="510"/>
      <c r="H35" s="511"/>
    </row>
    <row r="36" spans="2:8">
      <c r="B36" s="420">
        <v>1</v>
      </c>
      <c r="C36" s="421"/>
      <c r="D36" s="504"/>
      <c r="E36" s="504"/>
      <c r="F36" s="504"/>
      <c r="G36" s="504"/>
      <c r="H36" s="504"/>
    </row>
    <row r="37" spans="2:8">
      <c r="B37" s="420">
        <v>2</v>
      </c>
      <c r="C37" s="421"/>
      <c r="D37" s="504"/>
      <c r="E37" s="504"/>
      <c r="F37" s="504"/>
      <c r="G37" s="504"/>
      <c r="H37" s="504"/>
    </row>
    <row r="38" spans="2:8">
      <c r="B38" s="420">
        <v>3</v>
      </c>
      <c r="C38" s="421"/>
      <c r="D38" s="504"/>
      <c r="E38" s="504"/>
      <c r="F38" s="504"/>
      <c r="G38" s="504"/>
      <c r="H38" s="504"/>
    </row>
    <row r="39" spans="2:8">
      <c r="B39" s="420">
        <v>4</v>
      </c>
      <c r="C39" s="421"/>
      <c r="D39" s="504"/>
      <c r="E39" s="504"/>
      <c r="F39" s="504"/>
      <c r="G39" s="504"/>
      <c r="H39" s="504"/>
    </row>
    <row r="40" spans="2:8">
      <c r="B40" s="420">
        <v>5</v>
      </c>
      <c r="C40" s="421"/>
      <c r="D40" s="504"/>
      <c r="E40" s="504"/>
      <c r="F40" s="504"/>
      <c r="G40" s="504"/>
      <c r="H40" s="504"/>
    </row>
    <row r="41" spans="2:8">
      <c r="B41" s="420">
        <v>6</v>
      </c>
      <c r="C41" s="421"/>
      <c r="D41" s="504"/>
      <c r="E41" s="504"/>
      <c r="F41" s="504"/>
      <c r="G41" s="504"/>
      <c r="H41" s="504"/>
    </row>
    <row r="42" spans="2:8">
      <c r="B42" s="420">
        <v>7</v>
      </c>
      <c r="C42" s="421"/>
      <c r="D42" s="504"/>
      <c r="E42" s="504"/>
      <c r="F42" s="504"/>
      <c r="G42" s="504"/>
      <c r="H42" s="504"/>
    </row>
    <row r="43" spans="2:8">
      <c r="B43" s="420">
        <v>8</v>
      </c>
      <c r="C43" s="421"/>
      <c r="D43" s="501"/>
      <c r="E43" s="502"/>
      <c r="F43" s="502"/>
      <c r="G43" s="502"/>
      <c r="H43" s="503"/>
    </row>
    <row r="44" spans="2:8">
      <c r="B44" s="420">
        <v>9</v>
      </c>
      <c r="C44" s="421"/>
      <c r="D44" s="501"/>
      <c r="E44" s="502"/>
      <c r="F44" s="502"/>
      <c r="G44" s="502"/>
      <c r="H44" s="503"/>
    </row>
    <row r="45" spans="2:8">
      <c r="B45" s="420">
        <v>10</v>
      </c>
      <c r="C45" s="421"/>
      <c r="D45" s="501"/>
      <c r="E45" s="502"/>
      <c r="F45" s="502"/>
      <c r="G45" s="502"/>
      <c r="H45" s="503"/>
    </row>
    <row r="46" spans="2:8">
      <c r="B46" s="420">
        <v>11</v>
      </c>
      <c r="C46" s="421"/>
      <c r="D46" s="501"/>
      <c r="E46" s="502"/>
      <c r="F46" s="502"/>
      <c r="G46" s="502"/>
      <c r="H46" s="503"/>
    </row>
    <row r="47" spans="2:8">
      <c r="B47" s="420">
        <v>12</v>
      </c>
      <c r="C47" s="421"/>
      <c r="D47" s="501"/>
      <c r="E47" s="502"/>
      <c r="F47" s="502"/>
      <c r="G47" s="502"/>
      <c r="H47" s="503"/>
    </row>
    <row r="48" spans="2:8">
      <c r="B48" s="420">
        <v>13</v>
      </c>
      <c r="C48" s="421"/>
      <c r="D48" s="501"/>
      <c r="E48" s="502"/>
      <c r="F48" s="502"/>
      <c r="G48" s="502"/>
      <c r="H48" s="503"/>
    </row>
    <row r="49" spans="2:8">
      <c r="B49" s="420">
        <v>14</v>
      </c>
      <c r="C49" s="421"/>
      <c r="D49" s="501"/>
      <c r="E49" s="502"/>
      <c r="F49" s="502"/>
      <c r="G49" s="502"/>
      <c r="H49" s="503"/>
    </row>
    <row r="50" spans="2:8">
      <c r="B50" s="420">
        <v>15</v>
      </c>
      <c r="C50" s="421"/>
      <c r="D50" s="501"/>
      <c r="E50" s="502"/>
      <c r="F50" s="502"/>
      <c r="G50" s="502"/>
      <c r="H50" s="503"/>
    </row>
    <row r="51" spans="2:8">
      <c r="B51" s="420">
        <v>16</v>
      </c>
      <c r="C51" s="469"/>
      <c r="D51" s="501"/>
      <c r="E51" s="502"/>
      <c r="F51" s="502"/>
      <c r="G51" s="502"/>
      <c r="H51" s="503"/>
    </row>
    <row r="52" spans="2:8">
      <c r="B52" s="420">
        <v>17</v>
      </c>
      <c r="C52" s="469"/>
      <c r="D52" s="501"/>
      <c r="E52" s="502"/>
      <c r="F52" s="502"/>
      <c r="G52" s="502"/>
      <c r="H52" s="503"/>
    </row>
    <row r="53" spans="2:8">
      <c r="B53" s="420">
        <v>18</v>
      </c>
      <c r="C53" s="469"/>
      <c r="D53" s="501"/>
      <c r="E53" s="502"/>
      <c r="F53" s="502"/>
      <c r="G53" s="502"/>
      <c r="H53" s="503"/>
    </row>
    <row r="54" spans="2:8">
      <c r="B54" s="420">
        <v>19</v>
      </c>
      <c r="C54" s="469"/>
      <c r="D54" s="501"/>
      <c r="E54" s="502"/>
      <c r="F54" s="502"/>
      <c r="G54" s="502"/>
      <c r="H54" s="503"/>
    </row>
    <row r="55" spans="2:8">
      <c r="B55" s="420">
        <v>20</v>
      </c>
      <c r="C55" s="469"/>
      <c r="D55" s="501"/>
      <c r="E55" s="502"/>
      <c r="F55" s="502"/>
      <c r="G55" s="502"/>
      <c r="H55" s="503"/>
    </row>
  </sheetData>
  <sheetProtection algorithmName="SHA-512" hashValue="oNq0l38Px/7+6ZfLQpyoLqheEvvyPuHMdg+DrpNBIajPFOuQo5oK/fXwZl461S9T26vPgje0cAi88LlVKJTzbA==" saltValue="8oY0MeA8vt4ftG4Zuo8aqQ==" spinCount="100000" sheet="1" objects="1" scenarios="1" selectLockedCells="1"/>
  <mergeCells count="23">
    <mergeCell ref="D51:H51"/>
    <mergeCell ref="D52:H52"/>
    <mergeCell ref="D53:H53"/>
    <mergeCell ref="D54:H54"/>
    <mergeCell ref="D55:H55"/>
    <mergeCell ref="G1:L1"/>
    <mergeCell ref="B34:H34"/>
    <mergeCell ref="D35:H35"/>
    <mergeCell ref="D36:H36"/>
    <mergeCell ref="D37:H37"/>
    <mergeCell ref="D38:H38"/>
    <mergeCell ref="D39:H39"/>
    <mergeCell ref="D40:H40"/>
    <mergeCell ref="D41:H41"/>
    <mergeCell ref="D42:H42"/>
    <mergeCell ref="D48:H48"/>
    <mergeCell ref="D49:H49"/>
    <mergeCell ref="D50:H50"/>
    <mergeCell ref="D43:H43"/>
    <mergeCell ref="D44:H44"/>
    <mergeCell ref="D45:H45"/>
    <mergeCell ref="D46:H46"/>
    <mergeCell ref="D47:H47"/>
  </mergeCells>
  <conditionalFormatting sqref="G3:L3">
    <cfRule type="containsText" dxfId="24" priority="23" operator="containsText" text="Perfecto">
      <formula>NOT(ISERROR(SEARCH("Perfecto",G3)))</formula>
    </cfRule>
  </conditionalFormatting>
  <conditionalFormatting sqref="G3">
    <cfRule type="containsText" dxfId="23" priority="21" operator="containsText" text="Puedes disminuir la cantidad de proteína">
      <formula>NOT(ISERROR(SEARCH("Puedes disminuir la cantidad de proteína",G3)))</formula>
    </cfRule>
    <cfRule type="containsText" dxfId="22" priority="22" operator="containsText" text="Aumenta la cantidad de alimentos altos en proteína">
      <formula>NOT(ISERROR(SEARCH("Aumenta la cantidad de alimentos altos en proteína",G3)))</formula>
    </cfRule>
  </conditionalFormatting>
  <conditionalFormatting sqref="H3">
    <cfRule type="containsText" dxfId="21" priority="19" operator="containsText" text="Aumenta la cantidad de alimentos altos en carbohidratos">
      <formula>NOT(ISERROR(SEARCH("Aumenta la cantidad de alimentos altos en carbohidratos",H3)))</formula>
    </cfRule>
    <cfRule type="containsText" dxfId="20" priority="20" operator="containsText" text="Puedes disminuir la cantidad de carbohidratos">
      <formula>NOT(ISERROR(SEARCH("Puedes disminuir la cantidad de carbohidratos",H3)))</formula>
    </cfRule>
  </conditionalFormatting>
  <conditionalFormatting sqref="I3">
    <cfRule type="containsText" dxfId="19" priority="18" operator="containsText" text="Aumenta la cantidad de alimentos altos en grasas buenas">
      <formula>NOT(ISERROR(SEARCH("Aumenta la cantidad de alimentos altos en grasas buenas",I3)))</formula>
    </cfRule>
  </conditionalFormatting>
  <conditionalFormatting sqref="J3">
    <cfRule type="containsText" dxfId="18" priority="16" operator="containsText" text="Disminuye la cantidad de fibra">
      <formula>NOT(ISERROR(SEARCH("Disminuye la cantidad de fibra",J3)))</formula>
    </cfRule>
    <cfRule type="containsText" dxfId="17" priority="17" operator="containsText" text="Aumenta la cantidad de alimentos altos en fibra">
      <formula>NOT(ISERROR(SEARCH("Aumenta la cantidad de alimentos altos en fibra",J3)))</formula>
    </cfRule>
  </conditionalFormatting>
  <conditionalFormatting sqref="K3">
    <cfRule type="containsText" dxfId="16" priority="14" operator="containsText" text="Debes disminuir la cantidad de sal utilizada">
      <formula>NOT(ISERROR(SEARCH("Debes disminuir la cantidad de sal utilizada",K3)))</formula>
    </cfRule>
    <cfRule type="containsText" dxfId="15" priority="15" operator="containsText" text="Aumenta el consumo de sal">
      <formula>NOT(ISERROR(SEARCH("Aumenta el consumo de sal",K3)))</formula>
    </cfRule>
  </conditionalFormatting>
  <conditionalFormatting sqref="L3">
    <cfRule type="containsText" dxfId="14" priority="12" operator="containsText" text="Estás superando tu consumo calórico para una alimentación promedio de 2.000 calorías diarias">
      <formula>NOT(ISERROR(SEARCH("Estás superando tu consumo calórico para una alimentación promedio de 2.000 calorías diarias",L3)))</formula>
    </cfRule>
    <cfRule type="containsText" dxfId="13" priority="13" operator="containsText" text="Necesitas alimentos que aporten más energía">
      <formula>NOT(ISERROR(SEARCH("Necesitas alimentos que aporten más energía",L3)))</formula>
    </cfRule>
  </conditionalFormatting>
  <conditionalFormatting sqref="B9:D31">
    <cfRule type="containsBlanks" dxfId="12" priority="24">
      <formula>LEN(TRIM(B9))=0</formula>
    </cfRule>
  </conditionalFormatting>
  <conditionalFormatting sqref="B9:E31">
    <cfRule type="containsBlanks" dxfId="11" priority="9">
      <formula>LEN(TRIM(B9))=0</formula>
    </cfRule>
  </conditionalFormatting>
  <conditionalFormatting sqref="H8">
    <cfRule type="cellIs" dxfId="10" priority="7" operator="lessThan">
      <formula>0</formula>
    </cfRule>
    <cfRule type="cellIs" dxfId="9" priority="8" operator="greaterThan">
      <formula>0</formula>
    </cfRule>
  </conditionalFormatting>
  <conditionalFormatting sqref="C43:C55">
    <cfRule type="containsBlanks" dxfId="8" priority="6">
      <formula>LEN(TRIM(C43))=0</formula>
    </cfRule>
  </conditionalFormatting>
  <conditionalFormatting sqref="B8:D8">
    <cfRule type="containsBlanks" dxfId="7" priority="5">
      <formula>LEN(TRIM(B8))=0</formula>
    </cfRule>
  </conditionalFormatting>
  <conditionalFormatting sqref="B8:E8">
    <cfRule type="containsBlanks" dxfId="6" priority="4">
      <formula>LEN(TRIM(B8))=0</formula>
    </cfRule>
  </conditionalFormatting>
  <conditionalFormatting sqref="D43 D45:D55">
    <cfRule type="containsBlanks" dxfId="5" priority="3">
      <formula>LEN(TRIM(D43))=0</formula>
    </cfRule>
  </conditionalFormatting>
  <conditionalFormatting sqref="D44">
    <cfRule type="containsBlanks" dxfId="4" priority="2">
      <formula>LEN(TRIM(D44))=0</formula>
    </cfRule>
  </conditionalFormatting>
  <conditionalFormatting sqref="C36:H42">
    <cfRule type="containsBlanks" dxfId="3" priority="1">
      <formula>LEN(TRIM(C36))=0</formula>
    </cfRule>
  </conditionalFormatting>
  <dataValidations count="2">
    <dataValidation type="textLength" operator="lessThan" allowBlank="1" showInputMessage="1" showErrorMessage="1" promptTitle="CORTE, DETALLE" prompt="Escribe el corte o detalles del ingrediente que escojiste._x000a_Ejemplo: picado fino, rallado, entero, en rodajas, etc." sqref="C9:C31">
      <formula1>100</formula1>
    </dataValidation>
    <dataValidation type="decimal" errorStyle="warning" operator="greaterThan" allowBlank="1" showInputMessage="1" showErrorMessage="1" errorTitle="CANTIDAD" error="Revisa que estés ingresando un valor numérico." promptTitle="CANTIDAD" prompt="Escribe la cantidad que usarás del ingrediente en la receta. En la columna de la derecha, puedes escojer la unidad con la que tomarás esta medida." sqref="D9:D31">
      <formula1>0</formula1>
    </dataValidation>
  </dataValidations>
  <hyperlinks>
    <hyperlink ref="C4" location="FORMULARIO!C36" display="HAZ CLIC ACÁ PARA DIGITAR EL PROCEDIMIENTO"/>
    <hyperlink ref="B4" location="FORMULARIO!D9" display="HAZ CLIC ACÁ PARA DIGITAR LOS INGREDIENTES"/>
  </hyperlink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DESPLIEGA LA LISTA Y SELECCIONA" prompt="Escoje un ingrediente de la lista.">
          <x14:formula1>
            <xm:f>INGREDIENTES!$C$7:$C$141</xm:f>
          </x14:formula1>
          <xm:sqref>B12:B31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B1:V141"/>
  <sheetViews>
    <sheetView showGridLines="0" topLeftCell="N1" zoomScale="86" zoomScaleNormal="86" workbookViewId="0">
      <pane ySplit="6" topLeftCell="A11" activePane="bottomLeft" state="frozen"/>
      <selection activeCell="C28" sqref="C28"/>
      <selection pane="bottomLeft" activeCell="U7" sqref="U7:V7"/>
    </sheetView>
  </sheetViews>
  <sheetFormatPr baseColWidth="10" defaultColWidth="8.7109375" defaultRowHeight="15"/>
  <cols>
    <col min="1" max="1" width="3.5703125" style="463" customWidth="1"/>
    <col min="2" max="2" width="16.5703125" style="465" bestFit="1" customWidth="1"/>
    <col min="3" max="3" width="37.140625" style="463" customWidth="1"/>
    <col min="4" max="4" width="30" style="464" customWidth="1"/>
    <col min="5" max="5" width="9.7109375" style="463" bestFit="1" customWidth="1"/>
    <col min="6" max="6" width="28.5703125" style="463" bestFit="1" customWidth="1"/>
    <col min="7" max="7" width="28.7109375" style="466" bestFit="1" customWidth="1"/>
    <col min="8" max="8" width="17.5703125" style="463" bestFit="1" customWidth="1"/>
    <col min="9" max="9" width="14.5703125" style="464" customWidth="1"/>
    <col min="10" max="10" width="47.140625" style="464" customWidth="1"/>
    <col min="11" max="11" width="8.7109375" style="463"/>
    <col min="12" max="12" width="17.5703125" style="463" customWidth="1"/>
    <col min="13" max="13" width="13.7109375" style="463" bestFit="1" customWidth="1"/>
    <col min="14" max="14" width="24.5703125" style="463" bestFit="1" customWidth="1"/>
    <col min="15" max="15" width="12.5703125" style="463" bestFit="1" customWidth="1"/>
    <col min="16" max="16" width="16.140625" style="463" bestFit="1" customWidth="1"/>
    <col min="17" max="17" width="11.28515625" style="463" bestFit="1" customWidth="1"/>
    <col min="18" max="18" width="8.7109375" style="463"/>
    <col min="19" max="19" width="12" style="463" bestFit="1" customWidth="1"/>
    <col min="20" max="20" width="16.140625" style="463" bestFit="1" customWidth="1"/>
    <col min="21" max="21" width="21.42578125" style="463" customWidth="1"/>
    <col min="22" max="22" width="27.42578125" style="463" bestFit="1" customWidth="1"/>
    <col min="23" max="16384" width="8.7109375" style="463"/>
  </cols>
  <sheetData>
    <row r="1" spans="2:22" ht="138.75" customHeight="1">
      <c r="B1" s="462" t="s">
        <v>475</v>
      </c>
      <c r="D1" s="463"/>
      <c r="G1" s="463"/>
    </row>
    <row r="2" spans="2:22">
      <c r="D2" s="463"/>
      <c r="G2" s="463"/>
    </row>
    <row r="3" spans="2:22" ht="16.5" customHeight="1">
      <c r="D3" s="512"/>
      <c r="E3" s="512"/>
      <c r="F3" s="512"/>
      <c r="G3" s="512"/>
      <c r="H3" s="512"/>
      <c r="I3" s="512"/>
      <c r="J3" s="512"/>
      <c r="K3" s="512"/>
      <c r="L3" s="512"/>
      <c r="M3" s="512"/>
      <c r="N3" s="512"/>
    </row>
    <row r="4" spans="2:22">
      <c r="D4" s="463"/>
      <c r="G4" s="465"/>
      <c r="H4" s="465"/>
      <c r="I4" s="465"/>
      <c r="J4" s="465"/>
      <c r="K4" s="465"/>
      <c r="L4" s="465"/>
      <c r="M4" s="465"/>
      <c r="N4" s="465"/>
    </row>
    <row r="5" spans="2:22">
      <c r="B5" s="513" t="s">
        <v>3</v>
      </c>
      <c r="C5" s="513" t="s">
        <v>4</v>
      </c>
      <c r="D5" s="516" t="s">
        <v>5</v>
      </c>
      <c r="E5" s="517"/>
      <c r="F5" s="517"/>
      <c r="G5" s="518"/>
      <c r="H5" s="514" t="s">
        <v>6</v>
      </c>
      <c r="I5" s="519" t="s">
        <v>7</v>
      </c>
      <c r="J5" s="521" t="s">
        <v>8</v>
      </c>
      <c r="K5" s="514" t="s">
        <v>9</v>
      </c>
      <c r="L5" s="513" t="s">
        <v>10</v>
      </c>
      <c r="M5" s="513"/>
      <c r="N5" s="513"/>
      <c r="O5" s="513"/>
      <c r="P5" s="513"/>
      <c r="Q5" s="513"/>
      <c r="S5" s="449" t="s">
        <v>11</v>
      </c>
      <c r="T5" s="452" t="s">
        <v>12</v>
      </c>
      <c r="U5" s="452" t="s">
        <v>12</v>
      </c>
      <c r="V5" s="452" t="s">
        <v>12</v>
      </c>
    </row>
    <row r="6" spans="2:22">
      <c r="B6" s="513"/>
      <c r="C6" s="513"/>
      <c r="D6" s="424" t="s">
        <v>13</v>
      </c>
      <c r="E6" s="424" t="s">
        <v>14</v>
      </c>
      <c r="F6" s="424" t="s">
        <v>15</v>
      </c>
      <c r="G6" s="424" t="s">
        <v>16</v>
      </c>
      <c r="H6" s="515"/>
      <c r="I6" s="520"/>
      <c r="J6" s="522"/>
      <c r="K6" s="515"/>
      <c r="L6" s="424" t="s">
        <v>17</v>
      </c>
      <c r="M6" s="424" t="s">
        <v>18</v>
      </c>
      <c r="N6" s="424" t="s">
        <v>19</v>
      </c>
      <c r="O6" s="424" t="s">
        <v>20</v>
      </c>
      <c r="P6" s="424" t="s">
        <v>21</v>
      </c>
      <c r="Q6" s="424" t="s">
        <v>9</v>
      </c>
      <c r="S6" s="450" t="s">
        <v>22</v>
      </c>
      <c r="T6" s="455" t="s">
        <v>467</v>
      </c>
      <c r="U6" s="455" t="s">
        <v>467</v>
      </c>
      <c r="V6" s="455" t="s">
        <v>467</v>
      </c>
    </row>
    <row r="7" spans="2:22">
      <c r="B7" s="315" t="s">
        <v>23</v>
      </c>
      <c r="C7" s="316" t="s">
        <v>24</v>
      </c>
      <c r="D7" s="317">
        <v>798</v>
      </c>
      <c r="E7" s="318" t="s">
        <v>25</v>
      </c>
      <c r="F7" s="318"/>
      <c r="G7" s="319">
        <v>42.48</v>
      </c>
      <c r="H7" s="320">
        <f>D7*G7</f>
        <v>33899.040000000001</v>
      </c>
      <c r="I7" s="321">
        <v>0.19</v>
      </c>
      <c r="J7" s="322" t="s">
        <v>26</v>
      </c>
      <c r="K7" s="323" t="s">
        <v>27</v>
      </c>
      <c r="L7" s="318">
        <v>0</v>
      </c>
      <c r="M7" s="318">
        <v>13.74</v>
      </c>
      <c r="N7" s="318">
        <v>0</v>
      </c>
      <c r="O7" s="318">
        <v>0</v>
      </c>
      <c r="P7" s="318">
        <v>0</v>
      </c>
      <c r="Q7" s="323" t="s">
        <v>27</v>
      </c>
      <c r="S7" s="451" t="s">
        <v>25</v>
      </c>
      <c r="T7" s="324" t="str">
        <f>$C$10</f>
        <v>Acelga</v>
      </c>
      <c r="U7" s="324" t="s">
        <v>479</v>
      </c>
      <c r="V7" s="324" t="s">
        <v>479</v>
      </c>
    </row>
    <row r="8" spans="2:22">
      <c r="B8" s="315" t="s">
        <v>23</v>
      </c>
      <c r="C8" s="316" t="s">
        <v>28</v>
      </c>
      <c r="D8" s="318">
        <v>900</v>
      </c>
      <c r="E8" s="318" t="s">
        <v>25</v>
      </c>
      <c r="F8" s="318"/>
      <c r="G8" s="319">
        <v>8.5299999999999994</v>
      </c>
      <c r="H8" s="320">
        <f>D8*G8</f>
        <v>7676.9999999999991</v>
      </c>
      <c r="I8" s="321">
        <v>0.19</v>
      </c>
      <c r="J8" s="321" t="s">
        <v>29</v>
      </c>
      <c r="K8" s="323" t="s">
        <v>27</v>
      </c>
      <c r="L8" s="318">
        <v>0</v>
      </c>
      <c r="M8" s="318">
        <v>100</v>
      </c>
      <c r="N8" s="318">
        <v>0</v>
      </c>
      <c r="O8" s="318">
        <v>0</v>
      </c>
      <c r="P8" s="318">
        <v>0</v>
      </c>
      <c r="Q8" s="323" t="s">
        <v>27</v>
      </c>
      <c r="S8" s="451" t="s">
        <v>30</v>
      </c>
      <c r="T8" s="324" t="str">
        <f>$C$17</f>
        <v>Arazá</v>
      </c>
      <c r="U8" s="324" t="str">
        <f>$C$10</f>
        <v>Acelga</v>
      </c>
      <c r="V8" s="324" t="str">
        <f>$C$10</f>
        <v>Acelga</v>
      </c>
    </row>
    <row r="9" spans="2:22">
      <c r="B9" s="315" t="s">
        <v>23</v>
      </c>
      <c r="C9" s="316" t="s">
        <v>31</v>
      </c>
      <c r="D9" s="318">
        <v>5000</v>
      </c>
      <c r="E9" s="318" t="s">
        <v>25</v>
      </c>
      <c r="F9" s="318"/>
      <c r="G9" s="319">
        <v>18.98</v>
      </c>
      <c r="H9" s="320">
        <f>D9*G9</f>
        <v>94900</v>
      </c>
      <c r="I9" s="321">
        <v>0.19</v>
      </c>
      <c r="J9" s="321"/>
      <c r="K9" s="323" t="s">
        <v>27</v>
      </c>
      <c r="L9" s="318">
        <v>0</v>
      </c>
      <c r="M9" s="318">
        <v>100</v>
      </c>
      <c r="N9" s="318">
        <v>0</v>
      </c>
      <c r="O9" s="318">
        <v>0</v>
      </c>
      <c r="P9" s="318">
        <v>2</v>
      </c>
      <c r="Q9" s="323" t="s">
        <v>27</v>
      </c>
      <c r="T9" s="324" t="str">
        <f>$C$26</f>
        <v>Bocachico</v>
      </c>
      <c r="U9" s="324" t="str">
        <f>$C$17</f>
        <v>Arazá</v>
      </c>
      <c r="V9" s="324" t="str">
        <f>$C$17</f>
        <v>Arazá</v>
      </c>
    </row>
    <row r="10" spans="2:22">
      <c r="B10" s="438" t="s">
        <v>32</v>
      </c>
      <c r="C10" s="439" t="s">
        <v>33</v>
      </c>
      <c r="D10" s="440">
        <v>500</v>
      </c>
      <c r="E10" s="440" t="s">
        <v>22</v>
      </c>
      <c r="F10" s="440"/>
      <c r="G10" s="441">
        <v>1.99</v>
      </c>
      <c r="H10" s="442">
        <v>900</v>
      </c>
      <c r="I10" s="443">
        <v>0</v>
      </c>
      <c r="J10" s="443" t="s">
        <v>34</v>
      </c>
      <c r="K10" s="453" t="s">
        <v>27</v>
      </c>
      <c r="L10" s="440">
        <v>2.4</v>
      </c>
      <c r="M10" s="440">
        <v>0.2</v>
      </c>
      <c r="N10" s="440">
        <v>5.3</v>
      </c>
      <c r="O10" s="440">
        <v>2.8</v>
      </c>
      <c r="P10" s="440">
        <v>12</v>
      </c>
      <c r="Q10" s="444"/>
      <c r="T10" s="324" t="str">
        <f>$C$27</f>
        <v>Breva</v>
      </c>
      <c r="U10" s="324" t="str">
        <f>$C$26</f>
        <v>Bocachico</v>
      </c>
      <c r="V10" s="324" t="str">
        <f>$C$26</f>
        <v>Bocachico</v>
      </c>
    </row>
    <row r="11" spans="2:22">
      <c r="B11" s="315" t="s">
        <v>35</v>
      </c>
      <c r="C11" s="316" t="s">
        <v>36</v>
      </c>
      <c r="D11" s="318">
        <v>500</v>
      </c>
      <c r="E11" s="318" t="s">
        <v>22</v>
      </c>
      <c r="F11" s="318" t="s">
        <v>37</v>
      </c>
      <c r="G11" s="319">
        <v>8.1999999999999993</v>
      </c>
      <c r="H11" s="320">
        <f t="shared" ref="H11:H25" si="0">D11*G11</f>
        <v>4100</v>
      </c>
      <c r="I11" s="321">
        <v>0</v>
      </c>
      <c r="J11" s="321" t="s">
        <v>38</v>
      </c>
      <c r="K11" s="323" t="s">
        <v>27</v>
      </c>
      <c r="L11" s="318">
        <v>1.3</v>
      </c>
      <c r="M11" s="318">
        <v>16.399999999999999</v>
      </c>
      <c r="N11" s="318">
        <v>13.5</v>
      </c>
      <c r="O11" s="318">
        <v>6.8</v>
      </c>
      <c r="P11" s="318">
        <v>0</v>
      </c>
      <c r="Q11" s="323" t="s">
        <v>27</v>
      </c>
      <c r="T11" s="324" t="str">
        <f>$C$29</f>
        <v>Cachama</v>
      </c>
      <c r="U11" s="324" t="str">
        <f>$C$27</f>
        <v>Breva</v>
      </c>
      <c r="V11" s="324" t="str">
        <f>$C$27</f>
        <v>Breva</v>
      </c>
    </row>
    <row r="12" spans="2:22">
      <c r="B12" s="315" t="s">
        <v>39</v>
      </c>
      <c r="C12" s="316" t="s">
        <v>40</v>
      </c>
      <c r="D12" s="318">
        <v>500</v>
      </c>
      <c r="E12" s="318" t="s">
        <v>22</v>
      </c>
      <c r="F12" s="318" t="s">
        <v>41</v>
      </c>
      <c r="G12" s="319">
        <v>2.2000000000000002</v>
      </c>
      <c r="H12" s="320">
        <f t="shared" si="0"/>
        <v>1100</v>
      </c>
      <c r="I12" s="321">
        <v>0</v>
      </c>
      <c r="J12" s="321" t="s">
        <v>42</v>
      </c>
      <c r="K12" s="323" t="s">
        <v>27</v>
      </c>
      <c r="L12" s="318">
        <v>0.7</v>
      </c>
      <c r="M12" s="318">
        <v>0.7</v>
      </c>
      <c r="N12" s="318">
        <v>8.4</v>
      </c>
      <c r="O12" s="318">
        <v>2.5</v>
      </c>
      <c r="P12" s="318">
        <v>1</v>
      </c>
      <c r="Q12" s="323" t="s">
        <v>27</v>
      </c>
      <c r="T12" s="324" t="str">
        <f>$C$33</f>
        <v>Carambolo</v>
      </c>
      <c r="U12" s="324" t="str">
        <f>$C$29</f>
        <v>Cachama</v>
      </c>
      <c r="V12" s="324" t="str">
        <f>$C$29</f>
        <v>Cachama</v>
      </c>
    </row>
    <row r="13" spans="2:22">
      <c r="B13" s="315" t="s">
        <v>43</v>
      </c>
      <c r="C13" s="316" t="s">
        <v>44</v>
      </c>
      <c r="D13" s="318">
        <v>100</v>
      </c>
      <c r="E13" s="318" t="s">
        <v>22</v>
      </c>
      <c r="F13" s="318"/>
      <c r="G13" s="319">
        <v>13</v>
      </c>
      <c r="H13" s="320">
        <f t="shared" si="0"/>
        <v>1300</v>
      </c>
      <c r="I13" s="321">
        <v>0</v>
      </c>
      <c r="J13" s="321" t="s">
        <v>45</v>
      </c>
      <c r="K13" s="323" t="s">
        <v>27</v>
      </c>
      <c r="L13" s="318">
        <v>4.7</v>
      </c>
      <c r="M13" s="318">
        <v>0.3</v>
      </c>
      <c r="N13" s="318">
        <v>29.3</v>
      </c>
      <c r="O13" s="318">
        <v>2.8</v>
      </c>
      <c r="P13" s="318">
        <v>19</v>
      </c>
      <c r="Q13" s="323" t="s">
        <v>27</v>
      </c>
      <c r="T13" s="324" t="str">
        <f>$C$35</f>
        <v>Cebada</v>
      </c>
      <c r="U13" s="324" t="str">
        <f>$C$33</f>
        <v>Carambolo</v>
      </c>
      <c r="V13" s="324" t="str">
        <f>$C$33</f>
        <v>Carambolo</v>
      </c>
    </row>
    <row r="14" spans="2:22">
      <c r="B14" s="315" t="s">
        <v>46</v>
      </c>
      <c r="C14" s="316" t="s">
        <v>47</v>
      </c>
      <c r="D14" s="318">
        <v>700</v>
      </c>
      <c r="E14" s="318" t="s">
        <v>22</v>
      </c>
      <c r="F14" s="318"/>
      <c r="G14" s="319">
        <v>11.99</v>
      </c>
      <c r="H14" s="320">
        <f t="shared" si="0"/>
        <v>8393</v>
      </c>
      <c r="I14" s="321">
        <v>0</v>
      </c>
      <c r="J14" s="321" t="s">
        <v>48</v>
      </c>
      <c r="K14" s="323" t="s">
        <v>27</v>
      </c>
      <c r="L14" s="318">
        <v>26.64</v>
      </c>
      <c r="M14" s="318">
        <v>19.3</v>
      </c>
      <c r="N14" s="318">
        <v>0</v>
      </c>
      <c r="O14" s="318">
        <v>0</v>
      </c>
      <c r="P14" s="318">
        <v>404</v>
      </c>
      <c r="Q14" s="323" t="s">
        <v>27</v>
      </c>
      <c r="T14" s="324" t="str">
        <f>$C$41</f>
        <v>Cholupa/gulupa</v>
      </c>
      <c r="U14" s="324" t="str">
        <f>$C$35</f>
        <v>Cebada</v>
      </c>
      <c r="V14" s="324" t="str">
        <f>$C$35</f>
        <v>Cebada</v>
      </c>
    </row>
    <row r="15" spans="2:22">
      <c r="B15" s="315" t="s">
        <v>49</v>
      </c>
      <c r="C15" s="316" t="s">
        <v>50</v>
      </c>
      <c r="D15" s="318">
        <v>50</v>
      </c>
      <c r="E15" s="318" t="s">
        <v>22</v>
      </c>
      <c r="F15" s="318"/>
      <c r="G15" s="319">
        <v>61.8</v>
      </c>
      <c r="H15" s="320">
        <f t="shared" si="0"/>
        <v>3090</v>
      </c>
      <c r="I15" s="321">
        <v>0</v>
      </c>
      <c r="J15" s="321" t="s">
        <v>51</v>
      </c>
      <c r="K15" s="323" t="s">
        <v>27</v>
      </c>
      <c r="L15" s="318">
        <v>2.54</v>
      </c>
      <c r="M15" s="318">
        <v>0.61</v>
      </c>
      <c r="N15" s="318">
        <v>4.34</v>
      </c>
      <c r="O15" s="318">
        <v>3.9</v>
      </c>
      <c r="P15" s="318">
        <v>4</v>
      </c>
      <c r="Q15" s="323" t="s">
        <v>27</v>
      </c>
      <c r="T15" s="324" t="str">
        <f>$C$42</f>
        <v>Chontaduro</v>
      </c>
      <c r="U15" s="324" t="str">
        <f>$C$41</f>
        <v>Cholupa/gulupa</v>
      </c>
      <c r="V15" s="324" t="str">
        <f>$C$41</f>
        <v>Cholupa/gulupa</v>
      </c>
    </row>
    <row r="16" spans="2:22">
      <c r="B16" s="315" t="s">
        <v>43</v>
      </c>
      <c r="C16" s="316" t="s">
        <v>52</v>
      </c>
      <c r="D16" s="318">
        <v>1000</v>
      </c>
      <c r="E16" s="318" t="s">
        <v>22</v>
      </c>
      <c r="F16" s="318" t="s">
        <v>53</v>
      </c>
      <c r="G16" s="319">
        <v>1.5</v>
      </c>
      <c r="H16" s="320">
        <f t="shared" si="0"/>
        <v>1500</v>
      </c>
      <c r="I16" s="321">
        <v>0</v>
      </c>
      <c r="J16" s="321" t="s">
        <v>54</v>
      </c>
      <c r="K16" s="323" t="s">
        <v>27</v>
      </c>
      <c r="L16" s="318">
        <v>0.7</v>
      </c>
      <c r="M16" s="318">
        <v>0.2</v>
      </c>
      <c r="N16" s="318">
        <v>4.5999999999999996</v>
      </c>
      <c r="O16" s="318">
        <v>1.9</v>
      </c>
      <c r="P16" s="318">
        <v>80</v>
      </c>
      <c r="Q16" s="323" t="s">
        <v>27</v>
      </c>
      <c r="T16" s="324" t="str">
        <f>$C$43</f>
        <v>Chuguas</v>
      </c>
      <c r="U16" s="324" t="str">
        <f>$C$42</f>
        <v>Chontaduro</v>
      </c>
      <c r="V16" s="324" t="str">
        <f>$C$42</f>
        <v>Chontaduro</v>
      </c>
    </row>
    <row r="17" spans="2:22">
      <c r="B17" s="438" t="s">
        <v>32</v>
      </c>
      <c r="C17" s="439" t="s">
        <v>55</v>
      </c>
      <c r="D17" s="440">
        <v>1000</v>
      </c>
      <c r="E17" s="440" t="s">
        <v>22</v>
      </c>
      <c r="F17" s="440"/>
      <c r="G17" s="441">
        <v>0.125</v>
      </c>
      <c r="H17" s="442">
        <f t="shared" si="0"/>
        <v>125</v>
      </c>
      <c r="I17" s="443">
        <v>0</v>
      </c>
      <c r="J17" s="443" t="s">
        <v>56</v>
      </c>
      <c r="K17" s="453" t="s">
        <v>27</v>
      </c>
      <c r="L17" s="440">
        <v>1.1000000000000001</v>
      </c>
      <c r="M17" s="440">
        <v>1.1000000000000001</v>
      </c>
      <c r="N17" s="440">
        <v>6.5</v>
      </c>
      <c r="O17" s="440">
        <v>0.9</v>
      </c>
      <c r="P17" s="440">
        <v>28</v>
      </c>
      <c r="Q17" s="444"/>
      <c r="T17" s="324" t="str">
        <f>$C$54</f>
        <v>Cubio</v>
      </c>
      <c r="U17" s="324" t="str">
        <f>$C$43</f>
        <v>Chuguas</v>
      </c>
      <c r="V17" s="324" t="str">
        <f>$C$43</f>
        <v>Chuguas</v>
      </c>
    </row>
    <row r="18" spans="2:22">
      <c r="B18" s="315" t="s">
        <v>39</v>
      </c>
      <c r="C18" s="316" t="s">
        <v>57</v>
      </c>
      <c r="D18" s="318">
        <v>500</v>
      </c>
      <c r="E18" s="318" t="s">
        <v>22</v>
      </c>
      <c r="F18" s="318"/>
      <c r="G18" s="319">
        <v>3.6</v>
      </c>
      <c r="H18" s="320">
        <f t="shared" si="0"/>
        <v>1800</v>
      </c>
      <c r="I18" s="321">
        <v>0</v>
      </c>
      <c r="J18" s="321" t="s">
        <v>54</v>
      </c>
      <c r="K18" s="323" t="s">
        <v>27</v>
      </c>
      <c r="L18" s="318">
        <v>0.9</v>
      </c>
      <c r="M18" s="318">
        <v>0.1</v>
      </c>
      <c r="N18" s="318">
        <v>26.3</v>
      </c>
      <c r="O18" s="318">
        <v>0.6</v>
      </c>
      <c r="P18" s="318">
        <v>1</v>
      </c>
      <c r="Q18" s="323" t="s">
        <v>27</v>
      </c>
      <c r="T18" s="324" t="str">
        <f>$C$65</f>
        <v>Granadilla</v>
      </c>
      <c r="U18" s="324" t="str">
        <f>$C$54</f>
        <v>Cubio</v>
      </c>
      <c r="V18" s="324" t="str">
        <f>$C$54</f>
        <v>Cubio</v>
      </c>
    </row>
    <row r="19" spans="2:22">
      <c r="B19" s="315" t="s">
        <v>58</v>
      </c>
      <c r="C19" s="316" t="s">
        <v>59</v>
      </c>
      <c r="D19" s="317">
        <v>5000</v>
      </c>
      <c r="E19" s="318" t="s">
        <v>22</v>
      </c>
      <c r="F19" s="325" t="s">
        <v>60</v>
      </c>
      <c r="G19" s="326">
        <v>3.1</v>
      </c>
      <c r="H19" s="320">
        <f t="shared" si="0"/>
        <v>15500</v>
      </c>
      <c r="I19" s="321">
        <v>0</v>
      </c>
      <c r="J19" s="327" t="s">
        <v>61</v>
      </c>
      <c r="K19" s="323" t="s">
        <v>27</v>
      </c>
      <c r="L19" s="318">
        <v>2.2999999999999998</v>
      </c>
      <c r="M19" s="318">
        <v>2.1</v>
      </c>
      <c r="N19" s="318">
        <v>32.5</v>
      </c>
      <c r="O19" s="318">
        <v>1.6</v>
      </c>
      <c r="P19" s="318">
        <v>4</v>
      </c>
      <c r="Q19" s="323" t="s">
        <v>27</v>
      </c>
      <c r="T19" s="324" t="str">
        <f>$C$70</f>
        <v>Harina de achira</v>
      </c>
      <c r="U19" s="324" t="str">
        <f>$C$65</f>
        <v>Granadilla</v>
      </c>
      <c r="V19" s="324" t="str">
        <f>$C$65</f>
        <v>Granadilla</v>
      </c>
    </row>
    <row r="20" spans="2:22">
      <c r="B20" s="315" t="s">
        <v>62</v>
      </c>
      <c r="C20" s="316" t="s">
        <v>63</v>
      </c>
      <c r="D20" s="318">
        <v>500</v>
      </c>
      <c r="E20" s="318" t="s">
        <v>22</v>
      </c>
      <c r="F20" s="318" t="s">
        <v>64</v>
      </c>
      <c r="G20" s="319">
        <v>3.6</v>
      </c>
      <c r="H20" s="320">
        <f t="shared" si="0"/>
        <v>1800</v>
      </c>
      <c r="I20" s="321">
        <v>0</v>
      </c>
      <c r="J20" s="321" t="s">
        <v>65</v>
      </c>
      <c r="K20" s="323" t="s">
        <v>27</v>
      </c>
      <c r="L20" s="318">
        <v>6.7</v>
      </c>
      <c r="M20" s="318">
        <v>0.3</v>
      </c>
      <c r="N20" s="318">
        <v>19.7</v>
      </c>
      <c r="O20" s="318">
        <v>6</v>
      </c>
      <c r="P20" s="318">
        <v>3</v>
      </c>
      <c r="Q20" s="323" t="s">
        <v>27</v>
      </c>
      <c r="T20" s="324" t="str">
        <f>$C$87</f>
        <v>Maní</v>
      </c>
      <c r="U20" s="324" t="str">
        <f>$C$70</f>
        <v>Harina de achira</v>
      </c>
      <c r="V20" s="324" t="str">
        <f>$C$70</f>
        <v>Harina de achira</v>
      </c>
    </row>
    <row r="21" spans="2:22">
      <c r="B21" s="315" t="s">
        <v>58</v>
      </c>
      <c r="C21" s="316" t="s">
        <v>66</v>
      </c>
      <c r="D21" s="318">
        <v>250</v>
      </c>
      <c r="E21" s="318" t="s">
        <v>22</v>
      </c>
      <c r="F21" s="318" t="s">
        <v>67</v>
      </c>
      <c r="G21" s="319">
        <v>4.3600000000000003</v>
      </c>
      <c r="H21" s="320">
        <f t="shared" si="0"/>
        <v>1090</v>
      </c>
      <c r="I21" s="321">
        <v>0.05</v>
      </c>
      <c r="J21" s="321" t="s">
        <v>45</v>
      </c>
      <c r="K21" s="323" t="s">
        <v>27</v>
      </c>
      <c r="L21" s="318">
        <v>16.899999999999999</v>
      </c>
      <c r="M21" s="318">
        <v>7.5</v>
      </c>
      <c r="N21" s="318">
        <v>64.099999999999994</v>
      </c>
      <c r="O21" s="318">
        <v>9.8000000000000007</v>
      </c>
      <c r="P21" s="318">
        <v>3</v>
      </c>
      <c r="Q21" s="323" t="s">
        <v>27</v>
      </c>
      <c r="T21" s="324" t="str">
        <f>$C$115</f>
        <v>Pimentón rojo</v>
      </c>
      <c r="U21" s="324" t="str">
        <f>$C$87</f>
        <v>Maní</v>
      </c>
      <c r="V21" s="324" t="str">
        <f>$C$87</f>
        <v>Maní</v>
      </c>
    </row>
    <row r="22" spans="2:22">
      <c r="B22" s="315" t="s">
        <v>68</v>
      </c>
      <c r="C22" s="316" t="s">
        <v>69</v>
      </c>
      <c r="D22" s="318">
        <v>2500</v>
      </c>
      <c r="E22" s="318" t="s">
        <v>22</v>
      </c>
      <c r="F22" s="318"/>
      <c r="G22" s="319">
        <v>2.74</v>
      </c>
      <c r="H22" s="320">
        <f t="shared" si="0"/>
        <v>6850.0000000000009</v>
      </c>
      <c r="I22" s="321">
        <v>0.05</v>
      </c>
      <c r="J22" s="321" t="s">
        <v>70</v>
      </c>
      <c r="K22" s="323" t="s">
        <v>27</v>
      </c>
      <c r="L22" s="318">
        <v>0</v>
      </c>
      <c r="M22" s="318">
        <v>0</v>
      </c>
      <c r="N22" s="318">
        <v>99.98</v>
      </c>
      <c r="O22" s="318">
        <v>0</v>
      </c>
      <c r="P22" s="318">
        <v>0</v>
      </c>
      <c r="Q22" s="323" t="s">
        <v>27</v>
      </c>
      <c r="T22" s="324" t="str">
        <f>$C$125</f>
        <v>Remolacha</v>
      </c>
      <c r="U22" s="324" t="str">
        <f>$C$115</f>
        <v>Pimentón rojo</v>
      </c>
      <c r="V22" s="324" t="str">
        <f>$C$115</f>
        <v>Pimentón rojo</v>
      </c>
    </row>
    <row r="23" spans="2:22">
      <c r="B23" s="315" t="s">
        <v>68</v>
      </c>
      <c r="C23" s="316" t="s">
        <v>71</v>
      </c>
      <c r="D23" s="318">
        <v>1000</v>
      </c>
      <c r="E23" s="318" t="s">
        <v>22</v>
      </c>
      <c r="F23" s="318"/>
      <c r="G23" s="319">
        <v>2.74</v>
      </c>
      <c r="H23" s="320">
        <f t="shared" si="0"/>
        <v>2740</v>
      </c>
      <c r="I23" s="321">
        <v>0.05</v>
      </c>
      <c r="J23" s="322" t="s">
        <v>70</v>
      </c>
      <c r="K23" s="323" t="s">
        <v>27</v>
      </c>
      <c r="L23" s="318">
        <v>0</v>
      </c>
      <c r="M23" s="318">
        <v>0</v>
      </c>
      <c r="N23" s="318">
        <v>97.33</v>
      </c>
      <c r="O23" s="318">
        <v>0</v>
      </c>
      <c r="P23" s="318">
        <v>39</v>
      </c>
      <c r="Q23" s="323" t="s">
        <v>27</v>
      </c>
      <c r="U23" s="324" t="str">
        <f>$C$125</f>
        <v>Remolacha</v>
      </c>
      <c r="V23" s="324" t="str">
        <f>$C$125</f>
        <v>Remolacha</v>
      </c>
    </row>
    <row r="24" spans="2:22">
      <c r="B24" s="315" t="s">
        <v>35</v>
      </c>
      <c r="C24" s="316" t="s">
        <v>72</v>
      </c>
      <c r="D24" s="318">
        <v>500</v>
      </c>
      <c r="E24" s="318" t="s">
        <v>22</v>
      </c>
      <c r="F24" s="318" t="s">
        <v>73</v>
      </c>
      <c r="G24" s="319">
        <f>1500/D24</f>
        <v>3</v>
      </c>
      <c r="H24" s="320">
        <f t="shared" si="0"/>
        <v>1500</v>
      </c>
      <c r="I24" s="321">
        <v>0</v>
      </c>
      <c r="J24" s="321" t="s">
        <v>74</v>
      </c>
      <c r="K24" s="323" t="s">
        <v>27</v>
      </c>
      <c r="L24" s="318">
        <v>1.5</v>
      </c>
      <c r="M24" s="318">
        <v>0.1</v>
      </c>
      <c r="N24" s="318">
        <v>22.3</v>
      </c>
      <c r="O24" s="318">
        <v>2.6</v>
      </c>
      <c r="P24" s="318">
        <v>3</v>
      </c>
      <c r="Q24" s="323" t="s">
        <v>27</v>
      </c>
    </row>
    <row r="25" spans="2:22">
      <c r="B25" s="315" t="s">
        <v>43</v>
      </c>
      <c r="C25" s="316" t="s">
        <v>75</v>
      </c>
      <c r="D25" s="318">
        <v>500</v>
      </c>
      <c r="E25" s="318" t="s">
        <v>22</v>
      </c>
      <c r="F25" s="318" t="s">
        <v>76</v>
      </c>
      <c r="G25" s="319">
        <v>4.4000000000000004</v>
      </c>
      <c r="H25" s="320">
        <f t="shared" si="0"/>
        <v>2200</v>
      </c>
      <c r="I25" s="321">
        <v>0</v>
      </c>
      <c r="J25" s="321" t="s">
        <v>77</v>
      </c>
      <c r="K25" s="323" t="s">
        <v>27</v>
      </c>
      <c r="L25" s="318">
        <v>0.8</v>
      </c>
      <c r="M25" s="318">
        <v>0.2</v>
      </c>
      <c r="N25" s="318">
        <v>6.7</v>
      </c>
      <c r="O25" s="318">
        <v>2.5</v>
      </c>
      <c r="P25" s="318">
        <v>1</v>
      </c>
      <c r="Q25" s="323" t="s">
        <v>27</v>
      </c>
    </row>
    <row r="26" spans="2:22">
      <c r="B26" s="445" t="s">
        <v>32</v>
      </c>
      <c r="C26" s="439" t="s">
        <v>78</v>
      </c>
      <c r="D26" s="440">
        <v>1000</v>
      </c>
      <c r="E26" s="440" t="s">
        <v>22</v>
      </c>
      <c r="F26" s="440"/>
      <c r="G26" s="441">
        <v>14.9</v>
      </c>
      <c r="H26" s="442">
        <v>14900</v>
      </c>
      <c r="I26" s="443">
        <v>0</v>
      </c>
      <c r="J26" s="443" t="s">
        <v>79</v>
      </c>
      <c r="K26" s="453" t="s">
        <v>27</v>
      </c>
      <c r="L26" s="440">
        <v>20.100000000000001</v>
      </c>
      <c r="M26" s="440">
        <v>6.4</v>
      </c>
      <c r="N26" s="440">
        <v>0</v>
      </c>
      <c r="O26" s="440">
        <v>0</v>
      </c>
      <c r="P26" s="440">
        <v>97</v>
      </c>
      <c r="Q26" s="444"/>
    </row>
    <row r="27" spans="2:22">
      <c r="B27" s="445" t="s">
        <v>32</v>
      </c>
      <c r="C27" s="439" t="s">
        <v>80</v>
      </c>
      <c r="D27" s="440">
        <v>500</v>
      </c>
      <c r="E27" s="440" t="s">
        <v>22</v>
      </c>
      <c r="F27" s="440"/>
      <c r="G27" s="441">
        <v>11.04</v>
      </c>
      <c r="H27" s="442">
        <v>5000</v>
      </c>
      <c r="I27" s="443">
        <v>0</v>
      </c>
      <c r="J27" s="443" t="s">
        <v>51</v>
      </c>
      <c r="K27" s="453" t="s">
        <v>27</v>
      </c>
      <c r="L27" s="440">
        <v>0.9</v>
      </c>
      <c r="M27" s="440">
        <v>0.2</v>
      </c>
      <c r="N27" s="440">
        <v>9.8000000000000007</v>
      </c>
      <c r="O27" s="440">
        <v>2.8</v>
      </c>
      <c r="P27" s="440">
        <v>2</v>
      </c>
      <c r="Q27" s="444"/>
    </row>
    <row r="28" spans="2:22">
      <c r="B28" s="328" t="s">
        <v>43</v>
      </c>
      <c r="C28" s="316" t="s">
        <v>81</v>
      </c>
      <c r="D28" s="318">
        <v>600</v>
      </c>
      <c r="E28" s="318" t="s">
        <v>22</v>
      </c>
      <c r="F28" s="318" t="s">
        <v>53</v>
      </c>
      <c r="G28" s="319">
        <v>4</v>
      </c>
      <c r="H28" s="320">
        <f>D28*G28</f>
        <v>2400</v>
      </c>
      <c r="I28" s="321">
        <v>0</v>
      </c>
      <c r="J28" s="327" t="s">
        <v>82</v>
      </c>
      <c r="K28" s="323" t="s">
        <v>27</v>
      </c>
      <c r="L28" s="318">
        <v>3</v>
      </c>
      <c r="M28" s="318">
        <v>0.3</v>
      </c>
      <c r="N28" s="318">
        <v>6.6</v>
      </c>
      <c r="O28" s="318">
        <v>2.6</v>
      </c>
      <c r="P28" s="318">
        <v>33</v>
      </c>
      <c r="Q28" s="323" t="s">
        <v>27</v>
      </c>
    </row>
    <row r="29" spans="2:22">
      <c r="B29" s="445" t="s">
        <v>32</v>
      </c>
      <c r="C29" s="439" t="s">
        <v>83</v>
      </c>
      <c r="D29" s="440">
        <v>1000</v>
      </c>
      <c r="E29" s="440" t="s">
        <v>22</v>
      </c>
      <c r="F29" s="440"/>
      <c r="G29" s="441">
        <f>H29/D29</f>
        <v>11.5</v>
      </c>
      <c r="H29" s="442">
        <v>11500</v>
      </c>
      <c r="I29" s="443"/>
      <c r="J29" s="448" t="s">
        <v>84</v>
      </c>
      <c r="K29" s="471" t="s">
        <v>27</v>
      </c>
      <c r="L29" s="440">
        <v>18.100000000000001</v>
      </c>
      <c r="M29" s="440" t="s">
        <v>85</v>
      </c>
      <c r="N29" s="440">
        <v>0</v>
      </c>
      <c r="O29" s="440">
        <v>0</v>
      </c>
      <c r="P29" s="440">
        <v>0</v>
      </c>
      <c r="Q29" s="444"/>
    </row>
    <row r="30" spans="2:22">
      <c r="B30" s="328" t="s">
        <v>46</v>
      </c>
      <c r="C30" s="316" t="s">
        <v>86</v>
      </c>
      <c r="D30" s="318">
        <v>1000</v>
      </c>
      <c r="E30" s="318" t="s">
        <v>22</v>
      </c>
      <c r="F30" s="318"/>
      <c r="G30" s="319">
        <v>24.7</v>
      </c>
      <c r="H30" s="320">
        <f>D30*G30</f>
        <v>24700</v>
      </c>
      <c r="I30" s="321">
        <v>0</v>
      </c>
      <c r="J30" s="321" t="s">
        <v>87</v>
      </c>
      <c r="K30" s="323" t="s">
        <v>27</v>
      </c>
      <c r="L30" s="318">
        <v>26.33</v>
      </c>
      <c r="M30" s="318">
        <v>19.54</v>
      </c>
      <c r="N30" s="318">
        <v>0</v>
      </c>
      <c r="O30" s="318">
        <v>0</v>
      </c>
      <c r="P30" s="318">
        <v>384</v>
      </c>
      <c r="Q30" s="323" t="s">
        <v>27</v>
      </c>
    </row>
    <row r="31" spans="2:22">
      <c r="B31" s="328" t="s">
        <v>68</v>
      </c>
      <c r="C31" s="316" t="s">
        <v>88</v>
      </c>
      <c r="D31" s="318">
        <v>1800</v>
      </c>
      <c r="E31" s="318" t="s">
        <v>22</v>
      </c>
      <c r="F31" s="318"/>
      <c r="G31" s="319">
        <v>14.39</v>
      </c>
      <c r="H31" s="320">
        <f>D31*G31</f>
        <v>25902</v>
      </c>
      <c r="I31" s="321">
        <v>0.05</v>
      </c>
      <c r="J31" s="321" t="s">
        <v>89</v>
      </c>
      <c r="K31" s="323" t="s">
        <v>27</v>
      </c>
      <c r="L31" s="318">
        <v>0.11</v>
      </c>
      <c r="M31" s="318">
        <v>0</v>
      </c>
      <c r="N31" s="318">
        <v>0.38</v>
      </c>
      <c r="O31" s="318">
        <v>0</v>
      </c>
      <c r="P31" s="318">
        <v>2</v>
      </c>
      <c r="Q31" s="323" t="s">
        <v>27</v>
      </c>
    </row>
    <row r="32" spans="2:22">
      <c r="B32" s="328" t="s">
        <v>90</v>
      </c>
      <c r="C32" s="316" t="s">
        <v>91</v>
      </c>
      <c r="D32" s="318">
        <v>84</v>
      </c>
      <c r="E32" s="318" t="s">
        <v>22</v>
      </c>
      <c r="F32" s="318"/>
      <c r="G32" s="319">
        <v>32.200000000000003</v>
      </c>
      <c r="H32" s="320">
        <f>D32*G32</f>
        <v>2704.8</v>
      </c>
      <c r="I32" s="321">
        <v>0.19</v>
      </c>
      <c r="J32" s="321"/>
      <c r="K32" s="323" t="s">
        <v>27</v>
      </c>
      <c r="L32" s="318">
        <v>15.13</v>
      </c>
      <c r="M32" s="318">
        <v>4.1399999999999997</v>
      </c>
      <c r="N32" s="318">
        <v>13.03</v>
      </c>
      <c r="O32" s="318">
        <v>0.7</v>
      </c>
      <c r="P32" s="318">
        <v>108</v>
      </c>
      <c r="Q32" s="323" t="s">
        <v>27</v>
      </c>
    </row>
    <row r="33" spans="2:17">
      <c r="B33" s="445" t="s">
        <v>32</v>
      </c>
      <c r="C33" s="439" t="s">
        <v>92</v>
      </c>
      <c r="D33" s="440">
        <v>500</v>
      </c>
      <c r="E33" s="440" t="s">
        <v>22</v>
      </c>
      <c r="F33" s="440"/>
      <c r="G33" s="441">
        <v>6.2</v>
      </c>
      <c r="H33" s="442">
        <v>3100</v>
      </c>
      <c r="I33" s="443"/>
      <c r="J33" s="443" t="s">
        <v>93</v>
      </c>
      <c r="K33" s="453" t="s">
        <v>27</v>
      </c>
      <c r="L33" s="440">
        <v>0.4</v>
      </c>
      <c r="M33" s="440">
        <v>0.1</v>
      </c>
      <c r="N33" s="440">
        <v>4.2</v>
      </c>
      <c r="O33" s="440">
        <v>2.8</v>
      </c>
      <c r="P33" s="440">
        <v>0</v>
      </c>
      <c r="Q33" s="444"/>
    </row>
    <row r="34" spans="2:17">
      <c r="B34" s="328" t="s">
        <v>46</v>
      </c>
      <c r="C34" s="316" t="s">
        <v>94</v>
      </c>
      <c r="D34" s="318">
        <v>500</v>
      </c>
      <c r="E34" s="318" t="s">
        <v>22</v>
      </c>
      <c r="F34" s="318"/>
      <c r="G34" s="319">
        <v>9.35</v>
      </c>
      <c r="H34" s="320">
        <f>D34*G34</f>
        <v>4675</v>
      </c>
      <c r="I34" s="321">
        <v>0</v>
      </c>
      <c r="J34" s="321" t="s">
        <v>87</v>
      </c>
      <c r="K34" s="323" t="s">
        <v>27</v>
      </c>
      <c r="L34" s="318">
        <v>26.33</v>
      </c>
      <c r="M34" s="318">
        <v>19.54</v>
      </c>
      <c r="N34" s="318">
        <v>0</v>
      </c>
      <c r="O34" s="318">
        <v>0</v>
      </c>
      <c r="P34" s="318">
        <v>384</v>
      </c>
      <c r="Q34" s="323" t="s">
        <v>27</v>
      </c>
    </row>
    <row r="35" spans="2:17">
      <c r="B35" s="445" t="s">
        <v>32</v>
      </c>
      <c r="C35" s="439" t="s">
        <v>95</v>
      </c>
      <c r="D35" s="440">
        <v>500</v>
      </c>
      <c r="E35" s="440" t="s">
        <v>22</v>
      </c>
      <c r="F35" s="440"/>
      <c r="G35" s="441">
        <v>3.8</v>
      </c>
      <c r="H35" s="442">
        <v>1900</v>
      </c>
      <c r="I35" s="443"/>
      <c r="J35" s="443" t="s">
        <v>96</v>
      </c>
      <c r="K35" s="471" t="s">
        <v>27</v>
      </c>
      <c r="L35" s="440">
        <v>12.5</v>
      </c>
      <c r="M35" s="440">
        <v>1.8</v>
      </c>
      <c r="N35" s="440">
        <v>72.099999999999994</v>
      </c>
      <c r="O35" s="440">
        <v>15.4</v>
      </c>
      <c r="P35" s="440">
        <v>2.7</v>
      </c>
      <c r="Q35" s="444"/>
    </row>
    <row r="36" spans="2:17">
      <c r="B36" s="328" t="s">
        <v>97</v>
      </c>
      <c r="C36" s="316" t="s">
        <v>98</v>
      </c>
      <c r="D36" s="318">
        <v>500</v>
      </c>
      <c r="E36" s="318" t="s">
        <v>22</v>
      </c>
      <c r="F36" s="318" t="s">
        <v>99</v>
      </c>
      <c r="G36" s="319">
        <v>3.58</v>
      </c>
      <c r="H36" s="320">
        <f>D36*G36</f>
        <v>1790</v>
      </c>
      <c r="I36" s="321">
        <v>0</v>
      </c>
      <c r="J36" s="321" t="s">
        <v>51</v>
      </c>
      <c r="K36" s="323" t="s">
        <v>27</v>
      </c>
      <c r="L36" s="318">
        <v>1.4</v>
      </c>
      <c r="M36" s="318">
        <v>0.1</v>
      </c>
      <c r="N36" s="318">
        <v>7.7</v>
      </c>
      <c r="O36" s="318">
        <v>1.7</v>
      </c>
      <c r="P36" s="318">
        <v>4</v>
      </c>
      <c r="Q36" s="323" t="s">
        <v>27</v>
      </c>
    </row>
    <row r="37" spans="2:17">
      <c r="B37" s="328" t="s">
        <v>97</v>
      </c>
      <c r="C37" s="316" t="s">
        <v>100</v>
      </c>
      <c r="D37" s="318">
        <v>500</v>
      </c>
      <c r="E37" s="318" t="s">
        <v>22</v>
      </c>
      <c r="F37" s="318"/>
      <c r="G37" s="319">
        <v>3.78</v>
      </c>
      <c r="H37" s="320">
        <f>D37*G37</f>
        <v>1890</v>
      </c>
      <c r="I37" s="321">
        <v>0</v>
      </c>
      <c r="J37" s="321" t="s">
        <v>101</v>
      </c>
      <c r="K37" s="323" t="s">
        <v>27</v>
      </c>
      <c r="L37" s="318">
        <v>1.2</v>
      </c>
      <c r="M37" s="318">
        <v>0.1</v>
      </c>
      <c r="N37" s="318">
        <v>6.8</v>
      </c>
      <c r="O37" s="318">
        <v>2</v>
      </c>
      <c r="P37" s="318">
        <v>15</v>
      </c>
      <c r="Q37" s="323" t="s">
        <v>27</v>
      </c>
    </row>
    <row r="38" spans="2:17">
      <c r="B38" s="315" t="s">
        <v>97</v>
      </c>
      <c r="C38" s="316" t="s">
        <v>102</v>
      </c>
      <c r="D38" s="318">
        <v>250</v>
      </c>
      <c r="E38" s="318" t="s">
        <v>22</v>
      </c>
      <c r="F38" s="318"/>
      <c r="G38" s="319">
        <v>26.8</v>
      </c>
      <c r="H38" s="320">
        <f>D38*G38</f>
        <v>6700</v>
      </c>
      <c r="I38" s="321">
        <v>0</v>
      </c>
      <c r="J38" s="321" t="s">
        <v>101</v>
      </c>
      <c r="K38" s="323" t="s">
        <v>27</v>
      </c>
      <c r="L38" s="318">
        <v>3.1</v>
      </c>
      <c r="M38" s="318">
        <v>0.6</v>
      </c>
      <c r="N38" s="318">
        <v>3</v>
      </c>
      <c r="O38" s="318">
        <v>1</v>
      </c>
      <c r="P38" s="318">
        <v>5</v>
      </c>
      <c r="Q38" s="323" t="s">
        <v>27</v>
      </c>
    </row>
    <row r="39" spans="2:17">
      <c r="B39" s="315" t="s">
        <v>46</v>
      </c>
      <c r="C39" s="316" t="s">
        <v>103</v>
      </c>
      <c r="D39" s="318">
        <v>500</v>
      </c>
      <c r="E39" s="318" t="s">
        <v>22</v>
      </c>
      <c r="F39" s="318"/>
      <c r="G39" s="319">
        <v>37.29</v>
      </c>
      <c r="H39" s="320">
        <f>D39*G39</f>
        <v>18645</v>
      </c>
      <c r="I39" s="321">
        <v>0</v>
      </c>
      <c r="J39" s="321" t="s">
        <v>87</v>
      </c>
      <c r="K39" s="323" t="s">
        <v>27</v>
      </c>
      <c r="L39" s="318">
        <v>26.33</v>
      </c>
      <c r="M39" s="318">
        <v>19.54</v>
      </c>
      <c r="N39" s="318">
        <v>0</v>
      </c>
      <c r="O39" s="318">
        <v>0</v>
      </c>
      <c r="P39" s="318">
        <v>384</v>
      </c>
      <c r="Q39" s="323" t="s">
        <v>27</v>
      </c>
    </row>
    <row r="40" spans="2:17">
      <c r="B40" s="315" t="s">
        <v>68</v>
      </c>
      <c r="C40" s="316" t="s">
        <v>104</v>
      </c>
      <c r="D40" s="318">
        <v>500</v>
      </c>
      <c r="E40" s="318" t="s">
        <v>22</v>
      </c>
      <c r="F40" s="318"/>
      <c r="G40" s="319">
        <v>9.98</v>
      </c>
      <c r="H40" s="320">
        <f>D40*G40</f>
        <v>4990</v>
      </c>
      <c r="I40" s="321">
        <v>0.05</v>
      </c>
      <c r="J40" s="321" t="s">
        <v>105</v>
      </c>
      <c r="K40" s="323" t="s">
        <v>27</v>
      </c>
      <c r="L40" s="318">
        <v>7.65</v>
      </c>
      <c r="M40" s="318">
        <v>29.66</v>
      </c>
      <c r="N40" s="318">
        <v>59.4</v>
      </c>
      <c r="O40" s="318">
        <v>3.4</v>
      </c>
      <c r="P40" s="318">
        <v>79</v>
      </c>
      <c r="Q40" s="323" t="s">
        <v>27</v>
      </c>
    </row>
    <row r="41" spans="2:17">
      <c r="B41" s="438" t="s">
        <v>32</v>
      </c>
      <c r="C41" s="439" t="s">
        <v>106</v>
      </c>
      <c r="D41" s="440">
        <v>500</v>
      </c>
      <c r="E41" s="440" t="s">
        <v>22</v>
      </c>
      <c r="F41" s="440"/>
      <c r="G41" s="441">
        <f>H41/D41</f>
        <v>5.6</v>
      </c>
      <c r="H41" s="442">
        <v>2800</v>
      </c>
      <c r="I41" s="443">
        <v>0</v>
      </c>
      <c r="J41" s="446" t="s">
        <v>107</v>
      </c>
      <c r="K41" s="453" t="s">
        <v>27</v>
      </c>
      <c r="L41" s="440">
        <v>0.9</v>
      </c>
      <c r="M41" s="440">
        <v>0.1</v>
      </c>
      <c r="N41" s="440">
        <v>17.2</v>
      </c>
      <c r="O41" s="440">
        <v>0.2</v>
      </c>
      <c r="P41" s="440">
        <v>7</v>
      </c>
      <c r="Q41" s="444"/>
    </row>
    <row r="42" spans="2:17">
      <c r="B42" s="438" t="s">
        <v>32</v>
      </c>
      <c r="C42" s="439" t="s">
        <v>108</v>
      </c>
      <c r="D42" s="440">
        <v>50000</v>
      </c>
      <c r="E42" s="440" t="s">
        <v>22</v>
      </c>
      <c r="F42" s="440"/>
      <c r="G42" s="441">
        <v>5</v>
      </c>
      <c r="H42" s="442">
        <v>250000</v>
      </c>
      <c r="I42" s="443">
        <v>0</v>
      </c>
      <c r="J42" s="446" t="s">
        <v>109</v>
      </c>
      <c r="K42" s="453" t="s">
        <v>27</v>
      </c>
      <c r="L42" s="440">
        <v>7.9</v>
      </c>
      <c r="M42" s="440">
        <v>16.600000000000001</v>
      </c>
      <c r="N42" s="440">
        <v>18.5</v>
      </c>
      <c r="O42" s="440">
        <v>0</v>
      </c>
      <c r="P42" s="440">
        <v>165</v>
      </c>
      <c r="Q42" s="444"/>
    </row>
    <row r="43" spans="2:17">
      <c r="B43" s="438" t="s">
        <v>32</v>
      </c>
      <c r="C43" s="439" t="s">
        <v>110</v>
      </c>
      <c r="D43" s="440">
        <v>5000</v>
      </c>
      <c r="E43" s="440" t="s">
        <v>22</v>
      </c>
      <c r="F43" s="440"/>
      <c r="G43" s="441">
        <f>H43/D43</f>
        <v>0.74</v>
      </c>
      <c r="H43" s="442">
        <v>3700</v>
      </c>
      <c r="I43" s="443">
        <v>0</v>
      </c>
      <c r="J43" s="446" t="s">
        <v>111</v>
      </c>
      <c r="K43" s="453" t="s">
        <v>27</v>
      </c>
      <c r="L43" s="440">
        <v>1.4</v>
      </c>
      <c r="M43" s="440">
        <v>0.5</v>
      </c>
      <c r="N43" s="440">
        <v>9.6999999999999993</v>
      </c>
      <c r="O43" s="440">
        <v>0.3</v>
      </c>
      <c r="P43" s="440">
        <v>0</v>
      </c>
      <c r="Q43" s="444"/>
    </row>
    <row r="44" spans="2:17">
      <c r="B44" s="315" t="s">
        <v>49</v>
      </c>
      <c r="C44" s="316" t="s">
        <v>112</v>
      </c>
      <c r="D44" s="318">
        <v>100</v>
      </c>
      <c r="E44" s="318" t="s">
        <v>22</v>
      </c>
      <c r="F44" s="318"/>
      <c r="G44" s="319">
        <v>18</v>
      </c>
      <c r="H44" s="320">
        <f t="shared" ref="H44:H53" si="1">D44*G44</f>
        <v>1800</v>
      </c>
      <c r="I44" s="321">
        <v>0</v>
      </c>
      <c r="J44" s="322" t="s">
        <v>113</v>
      </c>
      <c r="K44" s="323" t="s">
        <v>27</v>
      </c>
      <c r="L44" s="318">
        <v>2.13</v>
      </c>
      <c r="M44" s="318">
        <v>0.52</v>
      </c>
      <c r="N44" s="318">
        <v>3.67</v>
      </c>
      <c r="O44" s="318">
        <v>2.8</v>
      </c>
      <c r="P44" s="318">
        <v>46</v>
      </c>
      <c r="Q44" s="323" t="s">
        <v>27</v>
      </c>
    </row>
    <row r="45" spans="2:17">
      <c r="B45" s="315" t="s">
        <v>35</v>
      </c>
      <c r="C45" s="316" t="s">
        <v>114</v>
      </c>
      <c r="D45" s="318">
        <v>500</v>
      </c>
      <c r="E45" s="318" t="s">
        <v>22</v>
      </c>
      <c r="F45" s="318" t="s">
        <v>115</v>
      </c>
      <c r="G45" s="319">
        <v>4.2</v>
      </c>
      <c r="H45" s="320">
        <f t="shared" si="1"/>
        <v>2100</v>
      </c>
      <c r="I45" s="321">
        <v>0</v>
      </c>
      <c r="J45" s="321" t="s">
        <v>116</v>
      </c>
      <c r="K45" s="323" t="s">
        <v>27</v>
      </c>
      <c r="L45" s="318">
        <v>0.6</v>
      </c>
      <c r="M45" s="318">
        <v>0.1</v>
      </c>
      <c r="N45" s="318">
        <v>11.1</v>
      </c>
      <c r="O45" s="318">
        <v>2.4</v>
      </c>
      <c r="P45" s="318">
        <v>2</v>
      </c>
      <c r="Q45" s="323" t="s">
        <v>27</v>
      </c>
    </row>
    <row r="46" spans="2:17">
      <c r="B46" s="315" t="s">
        <v>117</v>
      </c>
      <c r="C46" s="316" t="s">
        <v>118</v>
      </c>
      <c r="D46" s="318">
        <v>600</v>
      </c>
      <c r="E46" s="318" t="s">
        <v>25</v>
      </c>
      <c r="F46" s="318"/>
      <c r="G46" s="319">
        <v>5.15</v>
      </c>
      <c r="H46" s="320">
        <f t="shared" si="1"/>
        <v>3090</v>
      </c>
      <c r="I46" s="454"/>
      <c r="J46" s="321"/>
      <c r="K46" s="323" t="s">
        <v>27</v>
      </c>
      <c r="L46" s="318">
        <v>0</v>
      </c>
      <c r="M46" s="318">
        <v>0</v>
      </c>
      <c r="N46" s="318">
        <v>11</v>
      </c>
      <c r="O46" s="318">
        <v>0</v>
      </c>
      <c r="P46" s="318">
        <v>20</v>
      </c>
      <c r="Q46" s="330" t="s">
        <v>27</v>
      </c>
    </row>
    <row r="47" spans="2:17">
      <c r="B47" s="315" t="s">
        <v>35</v>
      </c>
      <c r="C47" s="316" t="s">
        <v>119</v>
      </c>
      <c r="D47" s="318">
        <v>1500</v>
      </c>
      <c r="E47" s="318" t="s">
        <v>22</v>
      </c>
      <c r="F47" s="318" t="s">
        <v>37</v>
      </c>
      <c r="G47" s="319">
        <v>4.5999999999999996</v>
      </c>
      <c r="H47" s="320">
        <f t="shared" si="1"/>
        <v>6899.9999999999991</v>
      </c>
      <c r="I47" s="321">
        <v>0</v>
      </c>
      <c r="J47" s="322" t="s">
        <v>26</v>
      </c>
      <c r="K47" s="323" t="s">
        <v>27</v>
      </c>
      <c r="L47" s="318">
        <v>3.6</v>
      </c>
      <c r="M47" s="318">
        <v>35.5</v>
      </c>
      <c r="N47" s="318">
        <v>12.6</v>
      </c>
      <c r="O47" s="318">
        <v>9</v>
      </c>
      <c r="P47" s="318">
        <v>66</v>
      </c>
      <c r="Q47" s="323" t="s">
        <v>27</v>
      </c>
    </row>
    <row r="48" spans="2:17">
      <c r="B48" s="315" t="s">
        <v>43</v>
      </c>
      <c r="C48" s="316" t="s">
        <v>120</v>
      </c>
      <c r="D48" s="318">
        <v>1800</v>
      </c>
      <c r="E48" s="318" t="s">
        <v>22</v>
      </c>
      <c r="F48" s="318" t="s">
        <v>53</v>
      </c>
      <c r="G48" s="319">
        <v>2.44</v>
      </c>
      <c r="H48" s="320">
        <f t="shared" si="1"/>
        <v>4392</v>
      </c>
      <c r="I48" s="321">
        <v>0</v>
      </c>
      <c r="J48" s="329" t="s">
        <v>82</v>
      </c>
      <c r="K48" s="323" t="s">
        <v>27</v>
      </c>
      <c r="L48" s="318">
        <v>1.9</v>
      </c>
      <c r="M48" s="318">
        <v>0.1</v>
      </c>
      <c r="N48" s="318">
        <v>5.7</v>
      </c>
      <c r="O48" s="318">
        <v>2.4</v>
      </c>
      <c r="P48" s="318">
        <v>41</v>
      </c>
      <c r="Q48" s="323" t="s">
        <v>27</v>
      </c>
    </row>
    <row r="49" spans="2:17">
      <c r="B49" s="315" t="s">
        <v>90</v>
      </c>
      <c r="C49" s="316" t="s">
        <v>121</v>
      </c>
      <c r="D49" s="318">
        <v>90</v>
      </c>
      <c r="E49" s="318" t="s">
        <v>22</v>
      </c>
      <c r="F49" s="318"/>
      <c r="G49" s="319">
        <v>30.5</v>
      </c>
      <c r="H49" s="320">
        <f t="shared" si="1"/>
        <v>2745</v>
      </c>
      <c r="I49" s="321">
        <v>0.19</v>
      </c>
      <c r="J49" s="321" t="s">
        <v>122</v>
      </c>
      <c r="K49" s="323" t="s">
        <v>27</v>
      </c>
      <c r="L49" s="318">
        <v>4.4000000000000004</v>
      </c>
      <c r="M49" s="318">
        <v>5.3</v>
      </c>
      <c r="N49" s="318">
        <v>81.8</v>
      </c>
      <c r="O49" s="318">
        <v>0</v>
      </c>
      <c r="P49" s="318">
        <v>0</v>
      </c>
      <c r="Q49" s="323" t="s">
        <v>27</v>
      </c>
    </row>
    <row r="50" spans="2:17">
      <c r="B50" s="315" t="s">
        <v>90</v>
      </c>
      <c r="C50" s="316" t="s">
        <v>123</v>
      </c>
      <c r="D50" s="318">
        <v>50</v>
      </c>
      <c r="E50" s="318" t="s">
        <v>22</v>
      </c>
      <c r="F50" s="318"/>
      <c r="G50" s="319">
        <v>36</v>
      </c>
      <c r="H50" s="320">
        <f t="shared" si="1"/>
        <v>1800</v>
      </c>
      <c r="I50" s="321">
        <v>0.19</v>
      </c>
      <c r="J50" s="321" t="s">
        <v>124</v>
      </c>
      <c r="K50" s="323" t="s">
        <v>27</v>
      </c>
      <c r="L50" s="318">
        <v>0.37</v>
      </c>
      <c r="M50" s="318">
        <v>0.47</v>
      </c>
      <c r="N50" s="318">
        <v>0.93</v>
      </c>
      <c r="O50" s="318">
        <v>0.2</v>
      </c>
      <c r="P50" s="318">
        <v>4</v>
      </c>
      <c r="Q50" s="323" t="s">
        <v>27</v>
      </c>
    </row>
    <row r="51" spans="2:17">
      <c r="B51" s="315" t="s">
        <v>46</v>
      </c>
      <c r="C51" s="316" t="s">
        <v>125</v>
      </c>
      <c r="D51" s="318">
        <v>1000</v>
      </c>
      <c r="E51" s="318" t="s">
        <v>22</v>
      </c>
      <c r="F51" s="318"/>
      <c r="G51" s="319">
        <v>7.2</v>
      </c>
      <c r="H51" s="320">
        <f t="shared" si="1"/>
        <v>7200</v>
      </c>
      <c r="I51" s="321">
        <v>0</v>
      </c>
      <c r="J51" s="322" t="s">
        <v>48</v>
      </c>
      <c r="K51" s="323" t="s">
        <v>27</v>
      </c>
      <c r="L51" s="318">
        <v>15.55</v>
      </c>
      <c r="M51" s="318">
        <v>9.33</v>
      </c>
      <c r="N51" s="318">
        <v>0.71</v>
      </c>
      <c r="O51" s="318">
        <v>0</v>
      </c>
      <c r="P51" s="318">
        <v>74</v>
      </c>
      <c r="Q51" s="323" t="s">
        <v>27</v>
      </c>
    </row>
    <row r="52" spans="2:17">
      <c r="B52" s="315" t="s">
        <v>46</v>
      </c>
      <c r="C52" s="316" t="s">
        <v>126</v>
      </c>
      <c r="D52" s="318">
        <v>500</v>
      </c>
      <c r="E52" s="318" t="s">
        <v>22</v>
      </c>
      <c r="F52" s="318"/>
      <c r="G52" s="319">
        <v>19.2</v>
      </c>
      <c r="H52" s="320">
        <f t="shared" si="1"/>
        <v>9600</v>
      </c>
      <c r="I52" s="321">
        <v>0</v>
      </c>
      <c r="J52" s="321" t="s">
        <v>127</v>
      </c>
      <c r="K52" s="323" t="s">
        <v>27</v>
      </c>
      <c r="L52" s="318">
        <v>28.94</v>
      </c>
      <c r="M52" s="318">
        <v>30.17</v>
      </c>
      <c r="N52" s="318">
        <v>0</v>
      </c>
      <c r="O52" s="318">
        <v>0</v>
      </c>
      <c r="P52" s="318">
        <v>255</v>
      </c>
      <c r="Q52" s="323" t="s">
        <v>27</v>
      </c>
    </row>
    <row r="53" spans="2:17">
      <c r="B53" s="315" t="s">
        <v>128</v>
      </c>
      <c r="C53" s="316" t="s">
        <v>129</v>
      </c>
      <c r="D53" s="318">
        <v>900</v>
      </c>
      <c r="E53" s="318" t="s">
        <v>25</v>
      </c>
      <c r="F53" s="318"/>
      <c r="G53" s="319">
        <v>11.54</v>
      </c>
      <c r="H53" s="320">
        <f t="shared" si="1"/>
        <v>10386</v>
      </c>
      <c r="I53" s="321">
        <v>0</v>
      </c>
      <c r="J53" s="321" t="s">
        <v>130</v>
      </c>
      <c r="K53" s="323" t="s">
        <v>27</v>
      </c>
      <c r="L53" s="318">
        <v>2.0499999999999998</v>
      </c>
      <c r="M53" s="318">
        <v>37</v>
      </c>
      <c r="N53" s="318">
        <v>2.79</v>
      </c>
      <c r="O53" s="318">
        <v>0</v>
      </c>
      <c r="P53" s="318">
        <v>38</v>
      </c>
      <c r="Q53" s="323" t="s">
        <v>27</v>
      </c>
    </row>
    <row r="54" spans="2:17">
      <c r="B54" s="438" t="s">
        <v>32</v>
      </c>
      <c r="C54" s="439" t="s">
        <v>131</v>
      </c>
      <c r="D54" s="440">
        <v>500</v>
      </c>
      <c r="E54" s="440" t="s">
        <v>22</v>
      </c>
      <c r="F54" s="440"/>
      <c r="G54" s="441">
        <v>4.4000000000000004</v>
      </c>
      <c r="H54" s="442">
        <v>2200</v>
      </c>
      <c r="I54" s="443">
        <v>0</v>
      </c>
      <c r="J54" s="443" t="s">
        <v>45</v>
      </c>
      <c r="K54" s="472" t="s">
        <v>27</v>
      </c>
      <c r="L54" s="440">
        <v>5.8</v>
      </c>
      <c r="M54" s="440">
        <v>2.4</v>
      </c>
      <c r="N54" s="440">
        <v>22.6</v>
      </c>
      <c r="O54" s="440">
        <v>0</v>
      </c>
      <c r="P54" s="440">
        <v>20</v>
      </c>
      <c r="Q54" s="444"/>
    </row>
    <row r="55" spans="2:17">
      <c r="B55" s="315" t="s">
        <v>35</v>
      </c>
      <c r="C55" s="316" t="s">
        <v>132</v>
      </c>
      <c r="D55" s="318">
        <v>500</v>
      </c>
      <c r="E55" s="318" t="s">
        <v>22</v>
      </c>
      <c r="F55" s="318" t="s">
        <v>73</v>
      </c>
      <c r="G55" s="319">
        <v>5.4</v>
      </c>
      <c r="H55" s="320">
        <f t="shared" ref="H55:H69" si="2">D55*G55</f>
        <v>2700</v>
      </c>
      <c r="I55" s="321">
        <v>0</v>
      </c>
      <c r="J55" s="321" t="s">
        <v>133</v>
      </c>
      <c r="K55" s="323" t="s">
        <v>27</v>
      </c>
      <c r="L55" s="318">
        <v>1</v>
      </c>
      <c r="M55" s="318">
        <v>0.1</v>
      </c>
      <c r="N55" s="318">
        <v>12.5</v>
      </c>
      <c r="O55" s="318">
        <v>1.5</v>
      </c>
      <c r="P55" s="318">
        <v>1</v>
      </c>
      <c r="Q55" s="323" t="s">
        <v>27</v>
      </c>
    </row>
    <row r="56" spans="2:17">
      <c r="B56" s="434" t="s">
        <v>117</v>
      </c>
      <c r="C56" s="316" t="s">
        <v>134</v>
      </c>
      <c r="D56" s="435">
        <v>100</v>
      </c>
      <c r="E56" s="435" t="s">
        <v>22</v>
      </c>
      <c r="F56" s="435"/>
      <c r="G56" s="436">
        <v>11.88</v>
      </c>
      <c r="H56" s="320">
        <f t="shared" si="2"/>
        <v>1188</v>
      </c>
      <c r="I56" s="321">
        <v>0</v>
      </c>
      <c r="J56" s="321"/>
      <c r="K56" s="330"/>
      <c r="L56" s="435">
        <v>0.87</v>
      </c>
      <c r="M56" s="435">
        <v>0.17</v>
      </c>
      <c r="N56" s="435">
        <v>3.8</v>
      </c>
      <c r="O56" s="435">
        <v>1.4</v>
      </c>
      <c r="P56" s="435">
        <v>19</v>
      </c>
      <c r="Q56" s="330" t="s">
        <v>27</v>
      </c>
    </row>
    <row r="57" spans="2:17">
      <c r="B57" s="315" t="s">
        <v>58</v>
      </c>
      <c r="C57" s="316" t="s">
        <v>135</v>
      </c>
      <c r="D57" s="318">
        <v>500</v>
      </c>
      <c r="E57" s="318" t="s">
        <v>22</v>
      </c>
      <c r="F57" s="318"/>
      <c r="G57" s="319">
        <v>4.9800000000000004</v>
      </c>
      <c r="H57" s="320">
        <f t="shared" si="2"/>
        <v>2490</v>
      </c>
      <c r="I57" s="321">
        <v>0.05</v>
      </c>
      <c r="J57" s="321"/>
      <c r="K57" s="323" t="s">
        <v>27</v>
      </c>
      <c r="L57" s="318">
        <v>13</v>
      </c>
      <c r="M57" s="318">
        <v>1.5</v>
      </c>
      <c r="N57" s="318">
        <v>74.7</v>
      </c>
      <c r="O57" s="318">
        <v>3.2</v>
      </c>
      <c r="P57" s="318">
        <v>120</v>
      </c>
      <c r="Q57" s="323" t="s">
        <v>27</v>
      </c>
    </row>
    <row r="58" spans="2:17">
      <c r="B58" s="315" t="s">
        <v>43</v>
      </c>
      <c r="C58" s="316" t="s">
        <v>136</v>
      </c>
      <c r="D58" s="318">
        <v>250</v>
      </c>
      <c r="E58" s="318" t="s">
        <v>22</v>
      </c>
      <c r="F58" s="318" t="s">
        <v>53</v>
      </c>
      <c r="G58" s="319">
        <v>4.8</v>
      </c>
      <c r="H58" s="320">
        <f t="shared" si="2"/>
        <v>1200</v>
      </c>
      <c r="I58" s="321">
        <v>0</v>
      </c>
      <c r="J58" s="321" t="s">
        <v>130</v>
      </c>
      <c r="K58" s="323" t="s">
        <v>27</v>
      </c>
      <c r="L58" s="318">
        <v>2.9</v>
      </c>
      <c r="M58" s="318">
        <v>0.2</v>
      </c>
      <c r="N58" s="318">
        <v>3.8</v>
      </c>
      <c r="O58" s="318">
        <v>2.5</v>
      </c>
      <c r="P58" s="318">
        <v>2</v>
      </c>
      <c r="Q58" s="323" t="s">
        <v>27</v>
      </c>
    </row>
    <row r="59" spans="2:17">
      <c r="B59" s="315" t="s">
        <v>35</v>
      </c>
      <c r="C59" s="316" t="s">
        <v>137</v>
      </c>
      <c r="D59" s="318">
        <v>500</v>
      </c>
      <c r="E59" s="318" t="s">
        <v>22</v>
      </c>
      <c r="F59" s="318" t="s">
        <v>138</v>
      </c>
      <c r="G59" s="319">
        <v>5.6</v>
      </c>
      <c r="H59" s="320">
        <f t="shared" si="2"/>
        <v>2800</v>
      </c>
      <c r="I59" s="321">
        <v>0</v>
      </c>
      <c r="J59" s="322" t="s">
        <v>51</v>
      </c>
      <c r="K59" s="323" t="s">
        <v>27</v>
      </c>
      <c r="L59" s="318">
        <v>1.7</v>
      </c>
      <c r="M59" s="318">
        <v>0</v>
      </c>
      <c r="N59" s="318">
        <v>15.8</v>
      </c>
      <c r="O59" s="318">
        <v>6.4</v>
      </c>
      <c r="P59" s="318">
        <v>3</v>
      </c>
      <c r="Q59" s="323" t="s">
        <v>27</v>
      </c>
    </row>
    <row r="60" spans="2:17">
      <c r="B60" s="328" t="s">
        <v>35</v>
      </c>
      <c r="C60" s="316" t="s">
        <v>139</v>
      </c>
      <c r="D60" s="318">
        <v>500</v>
      </c>
      <c r="E60" s="318" t="s">
        <v>22</v>
      </c>
      <c r="F60" s="318" t="s">
        <v>140</v>
      </c>
      <c r="G60" s="319">
        <v>5.6</v>
      </c>
      <c r="H60" s="320">
        <f t="shared" si="2"/>
        <v>2800</v>
      </c>
      <c r="I60" s="321">
        <v>0</v>
      </c>
      <c r="J60" s="321" t="s">
        <v>141</v>
      </c>
      <c r="K60" s="323" t="s">
        <v>27</v>
      </c>
      <c r="L60" s="318">
        <v>0.8</v>
      </c>
      <c r="M60" s="318">
        <v>0.5</v>
      </c>
      <c r="N60" s="318">
        <v>8.3000000000000007</v>
      </c>
      <c r="O60" s="318">
        <v>2</v>
      </c>
      <c r="P60" s="318">
        <v>2</v>
      </c>
      <c r="Q60" s="323" t="s">
        <v>27</v>
      </c>
    </row>
    <row r="61" spans="2:17">
      <c r="B61" s="328" t="s">
        <v>62</v>
      </c>
      <c r="C61" s="316" t="s">
        <v>142</v>
      </c>
      <c r="D61" s="318">
        <v>500</v>
      </c>
      <c r="E61" s="318" t="s">
        <v>22</v>
      </c>
      <c r="F61" s="318" t="s">
        <v>64</v>
      </c>
      <c r="G61" s="319">
        <v>10.4</v>
      </c>
      <c r="H61" s="320">
        <f t="shared" si="2"/>
        <v>5200</v>
      </c>
      <c r="I61" s="321">
        <v>0</v>
      </c>
      <c r="J61" s="321" t="s">
        <v>116</v>
      </c>
      <c r="K61" s="323" t="s">
        <v>27</v>
      </c>
      <c r="L61" s="318">
        <v>21.4</v>
      </c>
      <c r="M61" s="318">
        <v>1.2</v>
      </c>
      <c r="N61" s="318">
        <v>55.7</v>
      </c>
      <c r="O61" s="318">
        <v>20</v>
      </c>
      <c r="P61" s="318">
        <v>15</v>
      </c>
      <c r="Q61" s="323" t="s">
        <v>27</v>
      </c>
    </row>
    <row r="62" spans="2:17">
      <c r="B62" s="328" t="s">
        <v>62</v>
      </c>
      <c r="C62" s="316" t="s">
        <v>143</v>
      </c>
      <c r="D62" s="318">
        <v>500</v>
      </c>
      <c r="E62" s="318" t="s">
        <v>22</v>
      </c>
      <c r="F62" s="318" t="s">
        <v>64</v>
      </c>
      <c r="G62" s="319">
        <v>5.42</v>
      </c>
      <c r="H62" s="320">
        <f t="shared" si="2"/>
        <v>2710</v>
      </c>
      <c r="I62" s="321">
        <v>0</v>
      </c>
      <c r="J62" s="321" t="s">
        <v>65</v>
      </c>
      <c r="K62" s="323" t="s">
        <v>27</v>
      </c>
      <c r="L62" s="318">
        <v>22.8</v>
      </c>
      <c r="M62" s="318">
        <v>1.7</v>
      </c>
      <c r="N62" s="318">
        <v>59</v>
      </c>
      <c r="O62" s="318">
        <v>21.6</v>
      </c>
      <c r="P62" s="318">
        <v>5</v>
      </c>
      <c r="Q62" s="323" t="s">
        <v>27</v>
      </c>
    </row>
    <row r="63" spans="2:17">
      <c r="B63" s="437" t="s">
        <v>117</v>
      </c>
      <c r="C63" s="316" t="s">
        <v>144</v>
      </c>
      <c r="D63" s="435">
        <v>100</v>
      </c>
      <c r="E63" s="435" t="s">
        <v>22</v>
      </c>
      <c r="F63" s="435"/>
      <c r="G63" s="436">
        <v>10.93</v>
      </c>
      <c r="H63" s="320">
        <f t="shared" si="2"/>
        <v>1093</v>
      </c>
      <c r="I63" s="321">
        <v>0</v>
      </c>
      <c r="J63" s="321"/>
      <c r="K63" s="330"/>
      <c r="L63" s="435">
        <v>5.54</v>
      </c>
      <c r="M63" s="435">
        <v>5.15</v>
      </c>
      <c r="N63" s="435">
        <v>21.39</v>
      </c>
      <c r="O63" s="435">
        <v>5.5</v>
      </c>
      <c r="P63" s="435">
        <v>422</v>
      </c>
      <c r="Q63" s="330" t="s">
        <v>27</v>
      </c>
    </row>
    <row r="64" spans="2:17">
      <c r="B64" s="328" t="s">
        <v>62</v>
      </c>
      <c r="C64" s="316" t="s">
        <v>145</v>
      </c>
      <c r="D64" s="318">
        <v>500</v>
      </c>
      <c r="E64" s="318" t="s">
        <v>22</v>
      </c>
      <c r="F64" s="318" t="s">
        <v>64</v>
      </c>
      <c r="G64" s="319">
        <v>5.8</v>
      </c>
      <c r="H64" s="320">
        <f t="shared" si="2"/>
        <v>2900</v>
      </c>
      <c r="I64" s="321">
        <v>0</v>
      </c>
      <c r="J64" s="321" t="s">
        <v>146</v>
      </c>
      <c r="K64" s="323" t="s">
        <v>27</v>
      </c>
      <c r="L64" s="318">
        <v>8.6</v>
      </c>
      <c r="M64" s="318">
        <v>2.2999999999999998</v>
      </c>
      <c r="N64" s="318">
        <v>26</v>
      </c>
      <c r="O64" s="318">
        <v>15.6</v>
      </c>
      <c r="P64" s="318">
        <v>7</v>
      </c>
      <c r="Q64" s="323" t="s">
        <v>27</v>
      </c>
    </row>
    <row r="65" spans="2:17">
      <c r="B65" s="445" t="s">
        <v>32</v>
      </c>
      <c r="C65" s="439" t="s">
        <v>147</v>
      </c>
      <c r="D65" s="440">
        <v>500</v>
      </c>
      <c r="E65" s="440" t="s">
        <v>22</v>
      </c>
      <c r="F65" s="440" t="s">
        <v>148</v>
      </c>
      <c r="G65" s="441">
        <v>12</v>
      </c>
      <c r="H65" s="442">
        <f t="shared" si="2"/>
        <v>6000</v>
      </c>
      <c r="I65" s="443">
        <v>0</v>
      </c>
      <c r="J65" s="443" t="s">
        <v>149</v>
      </c>
      <c r="K65" s="444" t="s">
        <v>27</v>
      </c>
      <c r="L65" s="440">
        <v>2.1</v>
      </c>
      <c r="M65" s="440">
        <v>1.6</v>
      </c>
      <c r="N65" s="440">
        <v>14.9</v>
      </c>
      <c r="O65" s="440">
        <v>5.9</v>
      </c>
      <c r="P65" s="440">
        <v>20</v>
      </c>
      <c r="Q65" s="444" t="s">
        <v>27</v>
      </c>
    </row>
    <row r="66" spans="2:17">
      <c r="B66" s="328" t="s">
        <v>23</v>
      </c>
      <c r="C66" s="316" t="s">
        <v>150</v>
      </c>
      <c r="D66" s="318">
        <v>500</v>
      </c>
      <c r="E66" s="318" t="s">
        <v>22</v>
      </c>
      <c r="F66" s="318"/>
      <c r="G66" s="319">
        <v>26</v>
      </c>
      <c r="H66" s="320">
        <f t="shared" si="2"/>
        <v>13000</v>
      </c>
      <c r="I66" s="321">
        <v>0.19</v>
      </c>
      <c r="J66" s="321" t="s">
        <v>127</v>
      </c>
      <c r="K66" s="323" t="s">
        <v>27</v>
      </c>
      <c r="L66" s="318">
        <v>0</v>
      </c>
      <c r="M66" s="318">
        <v>100</v>
      </c>
      <c r="N66" s="318">
        <v>0</v>
      </c>
      <c r="O66" s="318">
        <v>0</v>
      </c>
      <c r="P66" s="318">
        <v>0</v>
      </c>
      <c r="Q66" s="323" t="s">
        <v>27</v>
      </c>
    </row>
    <row r="67" spans="2:17">
      <c r="B67" s="328" t="s">
        <v>35</v>
      </c>
      <c r="C67" s="316" t="s">
        <v>151</v>
      </c>
      <c r="D67" s="318">
        <v>2000</v>
      </c>
      <c r="E67" s="318" t="s">
        <v>22</v>
      </c>
      <c r="F67" s="318" t="s">
        <v>37</v>
      </c>
      <c r="G67" s="319">
        <v>4.0999999999999996</v>
      </c>
      <c r="H67" s="320">
        <f t="shared" si="2"/>
        <v>8200</v>
      </c>
      <c r="I67" s="321">
        <v>0</v>
      </c>
      <c r="J67" s="321" t="s">
        <v>54</v>
      </c>
      <c r="K67" s="323" t="s">
        <v>27</v>
      </c>
      <c r="L67" s="318">
        <v>0.6</v>
      </c>
      <c r="M67" s="318">
        <v>0.2</v>
      </c>
      <c r="N67" s="318">
        <v>6.8</v>
      </c>
      <c r="O67" s="318">
        <v>0.8</v>
      </c>
      <c r="P67" s="318">
        <v>9</v>
      </c>
      <c r="Q67" s="323" t="s">
        <v>27</v>
      </c>
    </row>
    <row r="68" spans="2:17">
      <c r="B68" s="328" t="s">
        <v>35</v>
      </c>
      <c r="C68" s="316" t="s">
        <v>152</v>
      </c>
      <c r="D68" s="318">
        <v>500</v>
      </c>
      <c r="E68" s="318" t="s">
        <v>22</v>
      </c>
      <c r="F68" s="318" t="s">
        <v>99</v>
      </c>
      <c r="G68" s="319">
        <v>2.6</v>
      </c>
      <c r="H68" s="320">
        <f t="shared" si="2"/>
        <v>1300</v>
      </c>
      <c r="I68" s="321">
        <v>0</v>
      </c>
      <c r="J68" s="321" t="s">
        <v>153</v>
      </c>
      <c r="K68" s="323" t="s">
        <v>27</v>
      </c>
      <c r="L68" s="318">
        <v>0.9</v>
      </c>
      <c r="M68" s="318">
        <v>0.4</v>
      </c>
      <c r="N68" s="318">
        <v>15.1</v>
      </c>
      <c r="O68" s="318">
        <v>5.4</v>
      </c>
      <c r="P68" s="318">
        <v>3</v>
      </c>
      <c r="Q68" s="323" t="s">
        <v>27</v>
      </c>
    </row>
    <row r="69" spans="2:17">
      <c r="B69" s="328" t="s">
        <v>43</v>
      </c>
      <c r="C69" s="316" t="s">
        <v>154</v>
      </c>
      <c r="D69" s="318">
        <v>500</v>
      </c>
      <c r="E69" s="318" t="s">
        <v>22</v>
      </c>
      <c r="F69" s="318"/>
      <c r="G69" s="319">
        <v>9.8000000000000007</v>
      </c>
      <c r="H69" s="320">
        <f t="shared" si="2"/>
        <v>4900</v>
      </c>
      <c r="I69" s="321">
        <v>0</v>
      </c>
      <c r="J69" s="331" t="s">
        <v>155</v>
      </c>
      <c r="K69" s="323" t="s">
        <v>27</v>
      </c>
      <c r="L69" s="318">
        <v>9.9</v>
      </c>
      <c r="M69" s="318">
        <v>0.6</v>
      </c>
      <c r="N69" s="318">
        <v>22.5</v>
      </c>
      <c r="O69" s="318">
        <v>4.2</v>
      </c>
      <c r="P69" s="318">
        <v>26</v>
      </c>
      <c r="Q69" s="323" t="s">
        <v>27</v>
      </c>
    </row>
    <row r="70" spans="2:17">
      <c r="B70" s="445" t="s">
        <v>32</v>
      </c>
      <c r="C70" s="439" t="s">
        <v>156</v>
      </c>
      <c r="D70" s="440">
        <v>540</v>
      </c>
      <c r="E70" s="440" t="s">
        <v>22</v>
      </c>
      <c r="F70" s="440"/>
      <c r="G70" s="441">
        <v>11.85</v>
      </c>
      <c r="H70" s="442">
        <v>6400</v>
      </c>
      <c r="I70" s="443">
        <v>0.05</v>
      </c>
      <c r="J70" s="447" t="s">
        <v>157</v>
      </c>
      <c r="K70" s="453" t="s">
        <v>27</v>
      </c>
      <c r="L70" s="440">
        <v>0.2</v>
      </c>
      <c r="M70" s="440">
        <v>0</v>
      </c>
      <c r="N70" s="440">
        <v>90.1</v>
      </c>
      <c r="O70" s="440">
        <v>0</v>
      </c>
      <c r="P70" s="440">
        <v>0</v>
      </c>
      <c r="Q70" s="444"/>
    </row>
    <row r="71" spans="2:17">
      <c r="B71" s="328" t="s">
        <v>58</v>
      </c>
      <c r="C71" s="316" t="s">
        <v>158</v>
      </c>
      <c r="D71" s="318">
        <v>1000</v>
      </c>
      <c r="E71" s="318" t="s">
        <v>22</v>
      </c>
      <c r="F71" s="318" t="s">
        <v>159</v>
      </c>
      <c r="G71" s="319">
        <v>2.5499999999999998</v>
      </c>
      <c r="H71" s="320">
        <f t="shared" ref="H71:H113" si="3">D71*G71</f>
        <v>2550</v>
      </c>
      <c r="I71" s="321">
        <v>0.05</v>
      </c>
      <c r="J71" s="321" t="s">
        <v>160</v>
      </c>
      <c r="K71" s="323" t="s">
        <v>27</v>
      </c>
      <c r="L71" s="318">
        <v>7.7</v>
      </c>
      <c r="M71" s="318">
        <v>3.3</v>
      </c>
      <c r="N71" s="318">
        <v>77.599999999999994</v>
      </c>
      <c r="O71" s="318">
        <v>7.3</v>
      </c>
      <c r="P71" s="318">
        <v>22</v>
      </c>
      <c r="Q71" s="323" t="s">
        <v>27</v>
      </c>
    </row>
    <row r="72" spans="2:17">
      <c r="B72" s="328" t="s">
        <v>58</v>
      </c>
      <c r="C72" s="316" t="s">
        <v>161</v>
      </c>
      <c r="D72" s="318">
        <v>500</v>
      </c>
      <c r="E72" s="318" t="s">
        <v>22</v>
      </c>
      <c r="F72" s="318" t="s">
        <v>64</v>
      </c>
      <c r="G72" s="319">
        <v>2.58</v>
      </c>
      <c r="H72" s="320">
        <f t="shared" si="3"/>
        <v>1290</v>
      </c>
      <c r="I72" s="321">
        <v>0.05</v>
      </c>
      <c r="J72" s="321" t="s">
        <v>45</v>
      </c>
      <c r="K72" s="323" t="s">
        <v>27</v>
      </c>
      <c r="L72" s="318">
        <v>12.5</v>
      </c>
      <c r="M72" s="318">
        <v>1.7</v>
      </c>
      <c r="N72" s="318">
        <v>72.3</v>
      </c>
      <c r="O72" s="318">
        <v>2.6</v>
      </c>
      <c r="P72" s="318">
        <v>2</v>
      </c>
      <c r="Q72" s="323" t="s">
        <v>27</v>
      </c>
    </row>
    <row r="73" spans="2:17">
      <c r="B73" s="328" t="s">
        <v>117</v>
      </c>
      <c r="C73" s="316" t="s">
        <v>162</v>
      </c>
      <c r="D73" s="318">
        <v>200</v>
      </c>
      <c r="E73" s="318" t="s">
        <v>22</v>
      </c>
      <c r="F73" s="318"/>
      <c r="G73" s="319">
        <v>9.98</v>
      </c>
      <c r="H73" s="320">
        <f t="shared" si="3"/>
        <v>1996</v>
      </c>
      <c r="I73" s="321">
        <v>0</v>
      </c>
      <c r="J73" s="322"/>
      <c r="K73" s="323"/>
      <c r="L73" s="318">
        <v>0</v>
      </c>
      <c r="M73" s="318">
        <v>0</v>
      </c>
      <c r="N73" s="318">
        <v>0</v>
      </c>
      <c r="O73" s="318">
        <v>0</v>
      </c>
      <c r="P73" s="318">
        <v>0</v>
      </c>
      <c r="Q73" s="316" t="s">
        <v>27</v>
      </c>
    </row>
    <row r="74" spans="2:17">
      <c r="B74" s="328" t="s">
        <v>163</v>
      </c>
      <c r="C74" s="316" t="s">
        <v>163</v>
      </c>
      <c r="D74" s="318">
        <v>30</v>
      </c>
      <c r="E74" s="318" t="s">
        <v>30</v>
      </c>
      <c r="F74" s="318"/>
      <c r="G74" s="319">
        <v>319.33</v>
      </c>
      <c r="H74" s="320">
        <f t="shared" si="3"/>
        <v>9579.9</v>
      </c>
      <c r="I74" s="321">
        <v>0</v>
      </c>
      <c r="J74" s="331" t="s">
        <v>164</v>
      </c>
      <c r="K74" s="323" t="s">
        <v>27</v>
      </c>
      <c r="L74" s="318">
        <v>12.58</v>
      </c>
      <c r="M74" s="318">
        <v>9.94</v>
      </c>
      <c r="N74" s="318">
        <v>0.77</v>
      </c>
      <c r="O74" s="318">
        <v>0</v>
      </c>
      <c r="P74" s="318">
        <v>140</v>
      </c>
      <c r="Q74" s="323" t="s">
        <v>27</v>
      </c>
    </row>
    <row r="75" spans="2:17">
      <c r="B75" s="328" t="s">
        <v>39</v>
      </c>
      <c r="C75" s="316" t="s">
        <v>165</v>
      </c>
      <c r="D75" s="318">
        <v>250</v>
      </c>
      <c r="E75" s="318" t="s">
        <v>22</v>
      </c>
      <c r="F75" s="318"/>
      <c r="G75" s="319">
        <v>14</v>
      </c>
      <c r="H75" s="320">
        <f t="shared" si="3"/>
        <v>3500</v>
      </c>
      <c r="I75" s="321">
        <v>0</v>
      </c>
      <c r="J75" s="322" t="s">
        <v>116</v>
      </c>
      <c r="K75" s="323" t="s">
        <v>27</v>
      </c>
      <c r="L75" s="318">
        <v>9</v>
      </c>
      <c r="M75" s="318">
        <v>4.2</v>
      </c>
      <c r="N75" s="318">
        <v>72.3</v>
      </c>
      <c r="O75" s="318">
        <v>14.1</v>
      </c>
      <c r="P75" s="318">
        <v>19.8</v>
      </c>
      <c r="Q75" s="323" t="s">
        <v>27</v>
      </c>
    </row>
    <row r="76" spans="2:17">
      <c r="B76" s="328" t="s">
        <v>46</v>
      </c>
      <c r="C76" s="316" t="s">
        <v>166</v>
      </c>
      <c r="D76" s="318">
        <v>135</v>
      </c>
      <c r="E76" s="318" t="s">
        <v>22</v>
      </c>
      <c r="F76" s="318"/>
      <c r="G76" s="319">
        <v>33.39</v>
      </c>
      <c r="H76" s="320">
        <f t="shared" si="3"/>
        <v>4507.6499999999996</v>
      </c>
      <c r="I76" s="321">
        <v>0</v>
      </c>
      <c r="J76" s="321" t="s">
        <v>167</v>
      </c>
      <c r="K76" s="323" t="s">
        <v>27</v>
      </c>
      <c r="L76" s="318">
        <v>25.51</v>
      </c>
      <c r="M76" s="318">
        <v>0.82</v>
      </c>
      <c r="N76" s="318">
        <v>0</v>
      </c>
      <c r="O76" s="318">
        <v>0</v>
      </c>
      <c r="P76" s="318">
        <v>338</v>
      </c>
      <c r="Q76" s="323" t="s">
        <v>27</v>
      </c>
    </row>
    <row r="77" spans="2:17">
      <c r="B77" s="328" t="s">
        <v>49</v>
      </c>
      <c r="C77" s="316" t="s">
        <v>168</v>
      </c>
      <c r="D77" s="318">
        <v>50</v>
      </c>
      <c r="E77" s="318" t="s">
        <v>22</v>
      </c>
      <c r="F77" s="318"/>
      <c r="G77" s="319">
        <v>66.8</v>
      </c>
      <c r="H77" s="320">
        <f t="shared" si="3"/>
        <v>3340</v>
      </c>
      <c r="I77" s="321">
        <v>0</v>
      </c>
      <c r="J77" s="321" t="s">
        <v>65</v>
      </c>
      <c r="K77" s="323" t="s">
        <v>27</v>
      </c>
      <c r="L77" s="318">
        <v>7.6</v>
      </c>
      <c r="M77" s="318">
        <v>8.4</v>
      </c>
      <c r="N77" s="318">
        <v>48.6</v>
      </c>
      <c r="O77" s="318">
        <v>0</v>
      </c>
      <c r="P77" s="318">
        <v>23</v>
      </c>
      <c r="Q77" s="323" t="s">
        <v>27</v>
      </c>
    </row>
    <row r="78" spans="2:17">
      <c r="B78" s="328" t="s">
        <v>128</v>
      </c>
      <c r="C78" s="316" t="s">
        <v>169</v>
      </c>
      <c r="D78" s="318">
        <v>900</v>
      </c>
      <c r="E78" s="318" t="s">
        <v>22</v>
      </c>
      <c r="F78" s="318"/>
      <c r="G78" s="319">
        <v>16.670000000000002</v>
      </c>
      <c r="H78" s="320">
        <f t="shared" si="3"/>
        <v>15003.000000000002</v>
      </c>
      <c r="I78" s="321">
        <v>0</v>
      </c>
      <c r="J78" s="331" t="s">
        <v>170</v>
      </c>
      <c r="K78" s="323" t="s">
        <v>27</v>
      </c>
      <c r="L78" s="318">
        <v>29</v>
      </c>
      <c r="M78" s="318">
        <v>13</v>
      </c>
      <c r="N78" s="318">
        <v>47</v>
      </c>
      <c r="O78" s="318">
        <v>0</v>
      </c>
      <c r="P78" s="318">
        <v>432</v>
      </c>
      <c r="Q78" s="323" t="s">
        <v>27</v>
      </c>
    </row>
    <row r="79" spans="2:17">
      <c r="B79" s="328" t="s">
        <v>128</v>
      </c>
      <c r="C79" s="316" t="s">
        <v>171</v>
      </c>
      <c r="D79" s="318">
        <v>6600</v>
      </c>
      <c r="E79" s="318" t="s">
        <v>25</v>
      </c>
      <c r="F79" s="318"/>
      <c r="G79" s="319">
        <v>2.8</v>
      </c>
      <c r="H79" s="320">
        <f t="shared" si="3"/>
        <v>18480</v>
      </c>
      <c r="I79" s="321">
        <v>0</v>
      </c>
      <c r="J79" s="331" t="s">
        <v>170</v>
      </c>
      <c r="K79" s="323" t="s">
        <v>27</v>
      </c>
      <c r="L79" s="318">
        <v>3.22</v>
      </c>
      <c r="M79" s="318">
        <v>3.25</v>
      </c>
      <c r="N79" s="318">
        <v>4.5199999999999996</v>
      </c>
      <c r="O79" s="318">
        <v>0</v>
      </c>
      <c r="P79" s="318">
        <v>40</v>
      </c>
      <c r="Q79" s="323" t="s">
        <v>27</v>
      </c>
    </row>
    <row r="80" spans="2:17">
      <c r="B80" s="328" t="s">
        <v>43</v>
      </c>
      <c r="C80" s="316" t="s">
        <v>172</v>
      </c>
      <c r="D80" s="318">
        <v>250</v>
      </c>
      <c r="E80" s="318" t="s">
        <v>22</v>
      </c>
      <c r="F80" s="318" t="s">
        <v>53</v>
      </c>
      <c r="G80" s="319">
        <v>8</v>
      </c>
      <c r="H80" s="320">
        <f t="shared" si="3"/>
        <v>2000</v>
      </c>
      <c r="I80" s="321">
        <v>0</v>
      </c>
      <c r="J80" s="321" t="s">
        <v>51</v>
      </c>
      <c r="K80" s="323" t="s">
        <v>27</v>
      </c>
      <c r="L80" s="318">
        <v>0.8</v>
      </c>
      <c r="M80" s="318">
        <v>0.1</v>
      </c>
      <c r="N80" s="318">
        <v>2.6</v>
      </c>
      <c r="O80" s="318">
        <v>1.7</v>
      </c>
      <c r="P80" s="318">
        <v>6</v>
      </c>
      <c r="Q80" s="323" t="s">
        <v>27</v>
      </c>
    </row>
    <row r="81" spans="2:17">
      <c r="B81" s="328" t="s">
        <v>62</v>
      </c>
      <c r="C81" s="316" t="s">
        <v>173</v>
      </c>
      <c r="D81" s="318">
        <v>500</v>
      </c>
      <c r="E81" s="318" t="s">
        <v>22</v>
      </c>
      <c r="F81" s="318" t="s">
        <v>64</v>
      </c>
      <c r="G81" s="319">
        <v>4.5999999999999996</v>
      </c>
      <c r="H81" s="320">
        <f t="shared" si="3"/>
        <v>2300</v>
      </c>
      <c r="I81" s="321">
        <v>0</v>
      </c>
      <c r="J81" s="321" t="s">
        <v>141</v>
      </c>
      <c r="K81" s="323" t="s">
        <v>27</v>
      </c>
      <c r="L81" s="318">
        <v>7.7</v>
      </c>
      <c r="M81" s="318">
        <v>0.5</v>
      </c>
      <c r="N81" s="318">
        <v>18.5</v>
      </c>
      <c r="O81" s="318">
        <v>6.5</v>
      </c>
      <c r="P81" s="318">
        <v>6</v>
      </c>
      <c r="Q81" s="323" t="s">
        <v>27</v>
      </c>
    </row>
    <row r="82" spans="2:17">
      <c r="B82" s="328" t="s">
        <v>35</v>
      </c>
      <c r="C82" s="316" t="s">
        <v>174</v>
      </c>
      <c r="D82" s="318">
        <v>500</v>
      </c>
      <c r="E82" s="318" t="s">
        <v>22</v>
      </c>
      <c r="F82" s="318" t="s">
        <v>175</v>
      </c>
      <c r="G82" s="319">
        <v>4.8</v>
      </c>
      <c r="H82" s="320">
        <f t="shared" si="3"/>
        <v>2400</v>
      </c>
      <c r="I82" s="321">
        <v>0</v>
      </c>
      <c r="J82" s="321" t="s">
        <v>176</v>
      </c>
      <c r="K82" s="323" t="s">
        <v>27</v>
      </c>
      <c r="L82" s="318">
        <v>0.3</v>
      </c>
      <c r="M82" s="318">
        <v>0.3</v>
      </c>
      <c r="N82" s="318">
        <v>9.3000000000000007</v>
      </c>
      <c r="O82" s="318">
        <v>1.5</v>
      </c>
      <c r="P82" s="318">
        <v>4</v>
      </c>
      <c r="Q82" s="323" t="s">
        <v>27</v>
      </c>
    </row>
    <row r="83" spans="2:17" ht="14.45" customHeight="1">
      <c r="B83" s="328" t="s">
        <v>46</v>
      </c>
      <c r="C83" s="316" t="s">
        <v>177</v>
      </c>
      <c r="D83" s="318">
        <v>577</v>
      </c>
      <c r="E83" s="318" t="s">
        <v>22</v>
      </c>
      <c r="F83" s="318"/>
      <c r="G83" s="319">
        <v>12.98</v>
      </c>
      <c r="H83" s="320">
        <f t="shared" si="3"/>
        <v>7489.46</v>
      </c>
      <c r="I83" s="321">
        <v>0</v>
      </c>
      <c r="J83" s="321" t="s">
        <v>127</v>
      </c>
      <c r="K83" s="323" t="s">
        <v>27</v>
      </c>
      <c r="L83" s="318">
        <v>20.54</v>
      </c>
      <c r="M83" s="318">
        <v>5.41</v>
      </c>
      <c r="N83" s="318">
        <v>0</v>
      </c>
      <c r="O83" s="318">
        <v>0</v>
      </c>
      <c r="P83" s="318">
        <v>49</v>
      </c>
      <c r="Q83" s="323" t="s">
        <v>27</v>
      </c>
    </row>
    <row r="84" spans="2:17" ht="14.45" customHeight="1">
      <c r="B84" s="328" t="s">
        <v>46</v>
      </c>
      <c r="C84" s="316" t="s">
        <v>178</v>
      </c>
      <c r="D84" s="318">
        <v>500</v>
      </c>
      <c r="E84" s="318" t="s">
        <v>22</v>
      </c>
      <c r="F84" s="318"/>
      <c r="G84" s="319">
        <v>26.9</v>
      </c>
      <c r="H84" s="320">
        <f t="shared" si="3"/>
        <v>13450</v>
      </c>
      <c r="I84" s="321">
        <v>0</v>
      </c>
      <c r="J84" s="321" t="s">
        <v>87</v>
      </c>
      <c r="K84" s="323" t="s">
        <v>27</v>
      </c>
      <c r="L84" s="318">
        <v>26.33</v>
      </c>
      <c r="M84" s="318">
        <v>19.54</v>
      </c>
      <c r="N84" s="318">
        <v>0</v>
      </c>
      <c r="O84" s="318">
        <v>0</v>
      </c>
      <c r="P84" s="318">
        <v>384</v>
      </c>
      <c r="Q84" s="323" t="s">
        <v>27</v>
      </c>
    </row>
    <row r="85" spans="2:17" ht="14.45" customHeight="1">
      <c r="B85" s="328" t="s">
        <v>35</v>
      </c>
      <c r="C85" s="316" t="s">
        <v>179</v>
      </c>
      <c r="D85" s="318">
        <v>500</v>
      </c>
      <c r="E85" s="318" t="s">
        <v>22</v>
      </c>
      <c r="F85" s="318" t="s">
        <v>99</v>
      </c>
      <c r="G85" s="319">
        <v>3.6</v>
      </c>
      <c r="H85" s="320">
        <f t="shared" si="3"/>
        <v>1800</v>
      </c>
      <c r="I85" s="321">
        <v>0</v>
      </c>
      <c r="J85" s="321" t="s">
        <v>176</v>
      </c>
      <c r="K85" s="323" t="s">
        <v>27</v>
      </c>
      <c r="L85" s="318">
        <v>0.9</v>
      </c>
      <c r="M85" s="318">
        <v>0.1</v>
      </c>
      <c r="N85" s="318">
        <v>11.4</v>
      </c>
      <c r="O85" s="318">
        <v>1.8</v>
      </c>
      <c r="P85" s="318">
        <v>0</v>
      </c>
      <c r="Q85" s="323" t="s">
        <v>27</v>
      </c>
    </row>
    <row r="86" spans="2:17">
      <c r="B86" s="315" t="s">
        <v>35</v>
      </c>
      <c r="C86" s="316" t="s">
        <v>180</v>
      </c>
      <c r="D86" s="318">
        <v>500</v>
      </c>
      <c r="E86" s="318" t="s">
        <v>22</v>
      </c>
      <c r="F86" s="318" t="s">
        <v>99</v>
      </c>
      <c r="G86" s="319">
        <v>4.4000000000000004</v>
      </c>
      <c r="H86" s="320">
        <f t="shared" si="3"/>
        <v>2200</v>
      </c>
      <c r="I86" s="321">
        <v>0</v>
      </c>
      <c r="J86" s="331" t="s">
        <v>181</v>
      </c>
      <c r="K86" s="323" t="s">
        <v>27</v>
      </c>
      <c r="L86" s="318">
        <v>0.6</v>
      </c>
      <c r="M86" s="318">
        <v>0</v>
      </c>
      <c r="N86" s="318">
        <v>17.100000000000001</v>
      </c>
      <c r="O86" s="318">
        <v>3.9</v>
      </c>
      <c r="P86" s="318">
        <v>4</v>
      </c>
      <c r="Q86" s="323" t="s">
        <v>27</v>
      </c>
    </row>
    <row r="87" spans="2:17">
      <c r="B87" s="438" t="s">
        <v>32</v>
      </c>
      <c r="C87" s="439" t="s">
        <v>182</v>
      </c>
      <c r="D87" s="440">
        <v>200</v>
      </c>
      <c r="E87" s="440" t="s">
        <v>22</v>
      </c>
      <c r="F87" s="440" t="s">
        <v>183</v>
      </c>
      <c r="G87" s="441">
        <v>23.95</v>
      </c>
      <c r="H87" s="442">
        <f t="shared" si="3"/>
        <v>4790</v>
      </c>
      <c r="I87" s="443">
        <v>0</v>
      </c>
      <c r="J87" s="448" t="s">
        <v>184</v>
      </c>
      <c r="K87" s="444" t="s">
        <v>27</v>
      </c>
      <c r="L87" s="440">
        <v>27.3</v>
      </c>
      <c r="M87" s="440">
        <v>47.8</v>
      </c>
      <c r="N87" s="440">
        <v>15.8</v>
      </c>
      <c r="O87" s="440">
        <v>8.3000000000000007</v>
      </c>
      <c r="P87" s="440">
        <v>18</v>
      </c>
      <c r="Q87" s="444" t="s">
        <v>27</v>
      </c>
    </row>
    <row r="88" spans="2:17">
      <c r="B88" s="315" t="s">
        <v>128</v>
      </c>
      <c r="C88" s="316" t="s">
        <v>185</v>
      </c>
      <c r="D88" s="318">
        <v>125</v>
      </c>
      <c r="E88" s="318" t="s">
        <v>22</v>
      </c>
      <c r="F88" s="318" t="s">
        <v>186</v>
      </c>
      <c r="G88" s="319">
        <v>16.72</v>
      </c>
      <c r="H88" s="320">
        <f t="shared" si="3"/>
        <v>2090</v>
      </c>
      <c r="I88" s="321">
        <v>0.19</v>
      </c>
      <c r="J88" s="331" t="s">
        <v>170</v>
      </c>
      <c r="K88" s="323" t="s">
        <v>27</v>
      </c>
      <c r="L88" s="318">
        <v>0.85</v>
      </c>
      <c r="M88" s="318">
        <v>81.11</v>
      </c>
      <c r="N88" s="318">
        <v>0.06</v>
      </c>
      <c r="O88" s="318">
        <v>0</v>
      </c>
      <c r="P88" s="318">
        <v>11</v>
      </c>
      <c r="Q88" s="323" t="s">
        <v>27</v>
      </c>
    </row>
    <row r="89" spans="2:17">
      <c r="B89" s="315" t="s">
        <v>35</v>
      </c>
      <c r="C89" s="316" t="s">
        <v>187</v>
      </c>
      <c r="D89" s="318">
        <v>500</v>
      </c>
      <c r="E89" s="318" t="s">
        <v>22</v>
      </c>
      <c r="F89" s="318" t="s">
        <v>99</v>
      </c>
      <c r="G89" s="319">
        <v>9.4</v>
      </c>
      <c r="H89" s="320">
        <f t="shared" si="3"/>
        <v>4700</v>
      </c>
      <c r="I89" s="321">
        <v>0</v>
      </c>
      <c r="J89" s="321" t="s">
        <v>188</v>
      </c>
      <c r="K89" s="323" t="s">
        <v>27</v>
      </c>
      <c r="L89" s="318">
        <v>0.3</v>
      </c>
      <c r="M89" s="318">
        <v>0.2</v>
      </c>
      <c r="N89" s="318">
        <v>16.5</v>
      </c>
      <c r="O89" s="318">
        <v>1.5</v>
      </c>
      <c r="P89" s="318">
        <v>2</v>
      </c>
      <c r="Q89" s="323" t="s">
        <v>27</v>
      </c>
    </row>
    <row r="90" spans="2:17">
      <c r="B90" s="315" t="s">
        <v>23</v>
      </c>
      <c r="C90" s="316" t="s">
        <v>189</v>
      </c>
      <c r="D90" s="318">
        <v>2270</v>
      </c>
      <c r="E90" s="318" t="s">
        <v>22</v>
      </c>
      <c r="F90" s="318"/>
      <c r="G90" s="319">
        <v>12.1</v>
      </c>
      <c r="H90" s="320">
        <f t="shared" si="3"/>
        <v>27467</v>
      </c>
      <c r="I90" s="321">
        <v>0.19</v>
      </c>
      <c r="J90" s="321" t="s">
        <v>190</v>
      </c>
      <c r="K90" s="323" t="s">
        <v>27</v>
      </c>
      <c r="L90" s="318">
        <v>0.6</v>
      </c>
      <c r="M90" s="318">
        <v>59.17</v>
      </c>
      <c r="N90" s="318">
        <v>0</v>
      </c>
      <c r="O90" s="318">
        <v>0</v>
      </c>
      <c r="P90" s="318">
        <v>785</v>
      </c>
      <c r="Q90" s="323" t="s">
        <v>27</v>
      </c>
    </row>
    <row r="91" spans="2:17">
      <c r="B91" s="315" t="s">
        <v>43</v>
      </c>
      <c r="C91" s="316" t="s">
        <v>191</v>
      </c>
      <c r="D91" s="318">
        <v>500</v>
      </c>
      <c r="E91" s="318" t="s">
        <v>22</v>
      </c>
      <c r="F91" s="318"/>
      <c r="G91" s="319">
        <v>12</v>
      </c>
      <c r="H91" s="320">
        <f t="shared" si="3"/>
        <v>6000</v>
      </c>
      <c r="I91" s="321">
        <v>0</v>
      </c>
      <c r="J91" s="321" t="s">
        <v>192</v>
      </c>
      <c r="K91" s="323" t="s">
        <v>27</v>
      </c>
      <c r="L91" s="318">
        <v>9.4</v>
      </c>
      <c r="M91" s="318">
        <v>4.7</v>
      </c>
      <c r="N91" s="318">
        <v>74.5</v>
      </c>
      <c r="O91" s="318">
        <v>7.3</v>
      </c>
      <c r="P91" s="318">
        <v>35</v>
      </c>
      <c r="Q91" s="323" t="s">
        <v>27</v>
      </c>
    </row>
    <row r="92" spans="2:17">
      <c r="B92" s="315" t="s">
        <v>35</v>
      </c>
      <c r="C92" s="316" t="s">
        <v>193</v>
      </c>
      <c r="D92" s="318">
        <v>800</v>
      </c>
      <c r="E92" s="318" t="s">
        <v>22</v>
      </c>
      <c r="F92" s="318" t="s">
        <v>37</v>
      </c>
      <c r="G92" s="319">
        <v>10.25</v>
      </c>
      <c r="H92" s="320">
        <f t="shared" si="3"/>
        <v>8200</v>
      </c>
      <c r="I92" s="321">
        <v>0</v>
      </c>
      <c r="J92" s="327" t="s">
        <v>194</v>
      </c>
      <c r="K92" s="323" t="s">
        <v>27</v>
      </c>
      <c r="L92" s="318">
        <v>0.7</v>
      </c>
      <c r="M92" s="318">
        <v>0</v>
      </c>
      <c r="N92" s="318">
        <v>5</v>
      </c>
      <c r="O92" s="318">
        <v>1</v>
      </c>
      <c r="P92" s="318">
        <v>7</v>
      </c>
      <c r="Q92" s="323" t="s">
        <v>27</v>
      </c>
    </row>
    <row r="93" spans="2:17">
      <c r="B93" s="315" t="s">
        <v>68</v>
      </c>
      <c r="C93" s="316" t="s">
        <v>195</v>
      </c>
      <c r="D93" s="318">
        <v>325</v>
      </c>
      <c r="E93" s="318" t="s">
        <v>25</v>
      </c>
      <c r="F93" s="318"/>
      <c r="G93" s="319">
        <v>32.549999999999997</v>
      </c>
      <c r="H93" s="320">
        <f t="shared" si="3"/>
        <v>10578.749999999998</v>
      </c>
      <c r="I93" s="321">
        <v>0.05</v>
      </c>
      <c r="J93" s="321" t="s">
        <v>196</v>
      </c>
      <c r="K93" s="323" t="s">
        <v>27</v>
      </c>
      <c r="L93" s="318">
        <v>0.3</v>
      </c>
      <c r="M93" s="318">
        <v>0</v>
      </c>
      <c r="N93" s="318">
        <v>82.4</v>
      </c>
      <c r="O93" s="318">
        <v>0.2</v>
      </c>
      <c r="P93" s="318">
        <v>4</v>
      </c>
      <c r="Q93" s="323" t="s">
        <v>27</v>
      </c>
    </row>
    <row r="94" spans="2:17">
      <c r="B94" s="315" t="s">
        <v>46</v>
      </c>
      <c r="C94" s="316" t="s">
        <v>197</v>
      </c>
      <c r="D94" s="318">
        <v>1000</v>
      </c>
      <c r="E94" s="318" t="s">
        <v>22</v>
      </c>
      <c r="F94" s="318" t="s">
        <v>73</v>
      </c>
      <c r="G94" s="319">
        <v>9.98</v>
      </c>
      <c r="H94" s="320">
        <f t="shared" si="3"/>
        <v>9980</v>
      </c>
      <c r="I94" s="321">
        <v>0</v>
      </c>
      <c r="J94" s="321" t="s">
        <v>198</v>
      </c>
      <c r="K94" s="323" t="s">
        <v>27</v>
      </c>
      <c r="L94" s="318">
        <v>16.97</v>
      </c>
      <c r="M94" s="318">
        <v>2.23</v>
      </c>
      <c r="N94" s="318">
        <v>0</v>
      </c>
      <c r="O94" s="318">
        <v>0</v>
      </c>
      <c r="P94" s="318">
        <v>39</v>
      </c>
      <c r="Q94" s="323" t="s">
        <v>27</v>
      </c>
    </row>
    <row r="95" spans="2:17">
      <c r="B95" s="315" t="s">
        <v>35</v>
      </c>
      <c r="C95" s="316" t="s">
        <v>199</v>
      </c>
      <c r="D95" s="318">
        <v>500</v>
      </c>
      <c r="E95" s="318" t="s">
        <v>22</v>
      </c>
      <c r="F95" s="318"/>
      <c r="G95" s="319">
        <v>6</v>
      </c>
      <c r="H95" s="320">
        <f t="shared" si="3"/>
        <v>3000</v>
      </c>
      <c r="I95" s="321">
        <v>0</v>
      </c>
      <c r="J95" s="321" t="s">
        <v>130</v>
      </c>
      <c r="K95" s="323" t="s">
        <v>27</v>
      </c>
      <c r="L95" s="318">
        <v>1</v>
      </c>
      <c r="M95" s="318">
        <v>0.1</v>
      </c>
      <c r="N95" s="318">
        <v>14.6</v>
      </c>
      <c r="O95" s="318">
        <v>5.3</v>
      </c>
      <c r="P95" s="318">
        <v>1</v>
      </c>
      <c r="Q95" s="323" t="s">
        <v>27</v>
      </c>
    </row>
    <row r="96" spans="2:17">
      <c r="B96" s="315" t="s">
        <v>35</v>
      </c>
      <c r="C96" s="316" t="s">
        <v>200</v>
      </c>
      <c r="D96" s="318">
        <v>500</v>
      </c>
      <c r="E96" s="318" t="s">
        <v>22</v>
      </c>
      <c r="F96" s="318" t="s">
        <v>76</v>
      </c>
      <c r="G96" s="319">
        <v>2</v>
      </c>
      <c r="H96" s="320">
        <f t="shared" si="3"/>
        <v>1000</v>
      </c>
      <c r="I96" s="321">
        <v>0</v>
      </c>
      <c r="J96" s="321" t="s">
        <v>201</v>
      </c>
      <c r="K96" s="323" t="s">
        <v>27</v>
      </c>
      <c r="L96" s="318">
        <v>0.7</v>
      </c>
      <c r="M96" s="318">
        <v>0.3</v>
      </c>
      <c r="N96" s="318">
        <v>8.8000000000000007</v>
      </c>
      <c r="O96" s="318">
        <v>0.2</v>
      </c>
      <c r="P96" s="318">
        <v>2</v>
      </c>
      <c r="Q96" s="323" t="s">
        <v>27</v>
      </c>
    </row>
    <row r="97" spans="2:17">
      <c r="B97" s="315" t="s">
        <v>49</v>
      </c>
      <c r="C97" s="316" t="s">
        <v>202</v>
      </c>
      <c r="D97" s="318">
        <v>20</v>
      </c>
      <c r="E97" s="318" t="s">
        <v>22</v>
      </c>
      <c r="F97" s="318"/>
      <c r="G97" s="319">
        <v>80.5</v>
      </c>
      <c r="H97" s="320">
        <f t="shared" si="3"/>
        <v>1610</v>
      </c>
      <c r="I97" s="321">
        <v>0</v>
      </c>
      <c r="J97" s="321" t="s">
        <v>170</v>
      </c>
      <c r="K97" s="323" t="s">
        <v>27</v>
      </c>
      <c r="L97" s="318">
        <v>11</v>
      </c>
      <c r="M97" s="318">
        <v>10.25</v>
      </c>
      <c r="N97" s="318">
        <v>64.430000000000007</v>
      </c>
      <c r="O97" s="318">
        <v>42.8</v>
      </c>
      <c r="P97" s="318">
        <v>15</v>
      </c>
      <c r="Q97" s="323" t="s">
        <v>27</v>
      </c>
    </row>
    <row r="98" spans="2:17">
      <c r="B98" s="315" t="s">
        <v>117</v>
      </c>
      <c r="C98" s="316" t="s">
        <v>203</v>
      </c>
      <c r="D98" s="318">
        <v>35</v>
      </c>
      <c r="E98" s="318" t="s">
        <v>22</v>
      </c>
      <c r="F98" s="318" t="s">
        <v>37</v>
      </c>
      <c r="G98" s="319">
        <v>8.58</v>
      </c>
      <c r="H98" s="320">
        <f t="shared" si="3"/>
        <v>300.3</v>
      </c>
      <c r="I98" s="321">
        <v>0</v>
      </c>
      <c r="J98" s="321"/>
      <c r="K98" s="323"/>
      <c r="L98" s="318">
        <v>7.64</v>
      </c>
      <c r="M98" s="318">
        <v>3.29</v>
      </c>
      <c r="N98" s="318">
        <v>50.61</v>
      </c>
      <c r="O98" s="318">
        <v>2.4</v>
      </c>
      <c r="P98" s="318">
        <v>681</v>
      </c>
      <c r="Q98" s="330" t="s">
        <v>27</v>
      </c>
    </row>
    <row r="99" spans="2:17">
      <c r="B99" s="315" t="s">
        <v>58</v>
      </c>
      <c r="C99" s="316" t="s">
        <v>204</v>
      </c>
      <c r="D99" s="318">
        <v>550</v>
      </c>
      <c r="E99" s="318" t="s">
        <v>22</v>
      </c>
      <c r="F99" s="318" t="s">
        <v>64</v>
      </c>
      <c r="G99" s="319">
        <v>5.9</v>
      </c>
      <c r="H99" s="320">
        <f t="shared" si="3"/>
        <v>3245</v>
      </c>
      <c r="I99" s="321">
        <v>0</v>
      </c>
      <c r="J99" s="321"/>
      <c r="K99" s="323" t="s">
        <v>27</v>
      </c>
      <c r="L99" s="318">
        <v>8.9</v>
      </c>
      <c r="M99" s="318">
        <v>1.5</v>
      </c>
      <c r="N99" s="318">
        <v>56.8</v>
      </c>
      <c r="O99" s="318">
        <v>0.7</v>
      </c>
      <c r="P99" s="318">
        <v>1183</v>
      </c>
      <c r="Q99" s="323" t="s">
        <v>27</v>
      </c>
    </row>
    <row r="100" spans="2:17">
      <c r="B100" s="315" t="s">
        <v>68</v>
      </c>
      <c r="C100" s="316" t="s">
        <v>205</v>
      </c>
      <c r="D100" s="318">
        <v>835</v>
      </c>
      <c r="E100" s="318" t="s">
        <v>22</v>
      </c>
      <c r="F100" s="318"/>
      <c r="G100" s="319">
        <v>3.22</v>
      </c>
      <c r="H100" s="320">
        <f t="shared" si="3"/>
        <v>2688.7000000000003</v>
      </c>
      <c r="I100" s="321">
        <v>0.05</v>
      </c>
      <c r="J100" s="321" t="s">
        <v>206</v>
      </c>
      <c r="K100" s="323" t="s">
        <v>27</v>
      </c>
      <c r="L100" s="318">
        <v>0</v>
      </c>
      <c r="M100" s="318">
        <v>0</v>
      </c>
      <c r="N100" s="318">
        <v>84.63</v>
      </c>
      <c r="O100" s="318">
        <v>0</v>
      </c>
      <c r="P100" s="318">
        <v>34</v>
      </c>
      <c r="Q100" s="323" t="s">
        <v>27</v>
      </c>
    </row>
    <row r="101" spans="2:17">
      <c r="B101" s="315" t="s">
        <v>39</v>
      </c>
      <c r="C101" s="316" t="s">
        <v>207</v>
      </c>
      <c r="D101" s="318">
        <v>500</v>
      </c>
      <c r="E101" s="318" t="s">
        <v>22</v>
      </c>
      <c r="F101" s="318" t="s">
        <v>148</v>
      </c>
      <c r="G101" s="319">
        <v>6.8</v>
      </c>
      <c r="H101" s="320">
        <f t="shared" si="3"/>
        <v>3400</v>
      </c>
      <c r="I101" s="321">
        <v>0</v>
      </c>
      <c r="J101" s="321" t="s">
        <v>208</v>
      </c>
      <c r="K101" s="323" t="s">
        <v>27</v>
      </c>
      <c r="L101" s="318">
        <v>1.4</v>
      </c>
      <c r="M101" s="318">
        <v>0</v>
      </c>
      <c r="N101" s="318">
        <v>18.100000000000001</v>
      </c>
      <c r="O101" s="318">
        <v>3</v>
      </c>
      <c r="P101" s="318">
        <v>2</v>
      </c>
      <c r="Q101" s="323" t="s">
        <v>27</v>
      </c>
    </row>
    <row r="102" spans="2:17">
      <c r="B102" s="434" t="s">
        <v>117</v>
      </c>
      <c r="C102" s="316" t="s">
        <v>209</v>
      </c>
      <c r="D102" s="435">
        <v>100</v>
      </c>
      <c r="E102" s="435" t="s">
        <v>22</v>
      </c>
      <c r="F102" s="435"/>
      <c r="G102" s="436">
        <v>9.64</v>
      </c>
      <c r="H102" s="320">
        <f t="shared" si="3"/>
        <v>964</v>
      </c>
      <c r="I102" s="321">
        <v>0</v>
      </c>
      <c r="J102" s="321"/>
      <c r="K102" s="330"/>
      <c r="L102" s="435">
        <v>6.56</v>
      </c>
      <c r="M102" s="435">
        <v>37.47</v>
      </c>
      <c r="N102" s="435">
        <v>49.74</v>
      </c>
      <c r="O102" s="435">
        <v>4.4000000000000004</v>
      </c>
      <c r="P102" s="435">
        <v>525</v>
      </c>
      <c r="Q102" s="330" t="s">
        <v>27</v>
      </c>
    </row>
    <row r="103" spans="2:17">
      <c r="B103" s="315" t="s">
        <v>39</v>
      </c>
      <c r="C103" s="316" t="s">
        <v>210</v>
      </c>
      <c r="D103" s="318">
        <v>2000</v>
      </c>
      <c r="E103" s="318" t="s">
        <v>22</v>
      </c>
      <c r="F103" s="318" t="s">
        <v>73</v>
      </c>
      <c r="G103" s="319">
        <v>2.7</v>
      </c>
      <c r="H103" s="320">
        <f t="shared" si="3"/>
        <v>5400</v>
      </c>
      <c r="I103" s="321">
        <v>0</v>
      </c>
      <c r="J103" s="321" t="s">
        <v>130</v>
      </c>
      <c r="K103" s="323" t="s">
        <v>27</v>
      </c>
      <c r="L103" s="318">
        <v>2.4</v>
      </c>
      <c r="M103" s="318">
        <v>0.1</v>
      </c>
      <c r="N103" s="318">
        <v>20.9</v>
      </c>
      <c r="O103" s="318">
        <v>1.8</v>
      </c>
      <c r="P103" s="318">
        <v>6</v>
      </c>
      <c r="Q103" s="323" t="s">
        <v>27</v>
      </c>
    </row>
    <row r="104" spans="2:17">
      <c r="B104" s="315" t="s">
        <v>39</v>
      </c>
      <c r="C104" s="316" t="s">
        <v>211</v>
      </c>
      <c r="D104" s="318">
        <v>500</v>
      </c>
      <c r="E104" s="318" t="s">
        <v>22</v>
      </c>
      <c r="F104" s="318" t="s">
        <v>73</v>
      </c>
      <c r="G104" s="319">
        <v>4.4000000000000004</v>
      </c>
      <c r="H104" s="320">
        <f t="shared" si="3"/>
        <v>2200</v>
      </c>
      <c r="I104" s="321">
        <v>0</v>
      </c>
      <c r="J104" s="327" t="s">
        <v>45</v>
      </c>
      <c r="K104" s="323" t="s">
        <v>27</v>
      </c>
      <c r="L104" s="318">
        <v>2.2999999999999998</v>
      </c>
      <c r="M104" s="318">
        <v>0.1</v>
      </c>
      <c r="N104" s="318">
        <v>21</v>
      </c>
      <c r="O104" s="318">
        <v>2.2999999999999998</v>
      </c>
      <c r="P104" s="318">
        <v>9</v>
      </c>
      <c r="Q104" s="323" t="s">
        <v>27</v>
      </c>
    </row>
    <row r="105" spans="2:17">
      <c r="B105" s="315" t="s">
        <v>35</v>
      </c>
      <c r="C105" s="316" t="s">
        <v>212</v>
      </c>
      <c r="D105" s="318">
        <v>2000</v>
      </c>
      <c r="E105" s="318" t="s">
        <v>22</v>
      </c>
      <c r="F105" s="318" t="s">
        <v>37</v>
      </c>
      <c r="G105" s="319">
        <v>2.8</v>
      </c>
      <c r="H105" s="320">
        <f t="shared" si="3"/>
        <v>5600</v>
      </c>
      <c r="I105" s="321">
        <v>0</v>
      </c>
      <c r="J105" s="321" t="s">
        <v>213</v>
      </c>
      <c r="K105" s="323" t="s">
        <v>27</v>
      </c>
      <c r="L105" s="318">
        <v>0.5</v>
      </c>
      <c r="M105" s="318">
        <v>0.1</v>
      </c>
      <c r="N105" s="318">
        <v>8.1999999999999993</v>
      </c>
      <c r="O105" s="318">
        <v>2</v>
      </c>
      <c r="P105" s="318">
        <v>5</v>
      </c>
      <c r="Q105" s="323" t="s">
        <v>27</v>
      </c>
    </row>
    <row r="106" spans="2:17">
      <c r="B106" s="315" t="s">
        <v>58</v>
      </c>
      <c r="C106" s="316" t="s">
        <v>214</v>
      </c>
      <c r="D106" s="318">
        <v>250</v>
      </c>
      <c r="E106" s="318" t="s">
        <v>22</v>
      </c>
      <c r="F106" s="318" t="s">
        <v>67</v>
      </c>
      <c r="G106" s="319">
        <v>3.56</v>
      </c>
      <c r="H106" s="320">
        <f t="shared" si="3"/>
        <v>890</v>
      </c>
      <c r="I106" s="321">
        <v>0.05</v>
      </c>
      <c r="J106" s="321"/>
      <c r="K106" s="323" t="s">
        <v>27</v>
      </c>
      <c r="L106" s="318">
        <v>13</v>
      </c>
      <c r="M106" s="318">
        <v>1.5</v>
      </c>
      <c r="N106" s="318">
        <v>74.7</v>
      </c>
      <c r="O106" s="318">
        <v>3.2</v>
      </c>
      <c r="P106" s="318">
        <v>120</v>
      </c>
      <c r="Q106" s="323" t="s">
        <v>27</v>
      </c>
    </row>
    <row r="107" spans="2:17">
      <c r="B107" s="315" t="s">
        <v>58</v>
      </c>
      <c r="C107" s="316" t="s">
        <v>215</v>
      </c>
      <c r="D107" s="318">
        <v>450</v>
      </c>
      <c r="E107" s="318" t="s">
        <v>22</v>
      </c>
      <c r="F107" s="318"/>
      <c r="G107" s="319">
        <v>17.66</v>
      </c>
      <c r="H107" s="320">
        <f t="shared" si="3"/>
        <v>7947</v>
      </c>
      <c r="I107" s="321">
        <v>0.05</v>
      </c>
      <c r="J107" s="321"/>
      <c r="K107" s="323" t="s">
        <v>27</v>
      </c>
      <c r="L107" s="318">
        <v>13</v>
      </c>
      <c r="M107" s="318">
        <v>1.5</v>
      </c>
      <c r="N107" s="318">
        <v>74.7</v>
      </c>
      <c r="O107" s="318">
        <v>3.2</v>
      </c>
      <c r="P107" s="318">
        <v>120</v>
      </c>
      <c r="Q107" s="323" t="s">
        <v>27</v>
      </c>
    </row>
    <row r="108" spans="2:17">
      <c r="B108" s="315" t="s">
        <v>58</v>
      </c>
      <c r="C108" s="316" t="s">
        <v>216</v>
      </c>
      <c r="D108" s="318">
        <v>250</v>
      </c>
      <c r="E108" s="318" t="s">
        <v>22</v>
      </c>
      <c r="F108" s="318" t="s">
        <v>67</v>
      </c>
      <c r="G108" s="319">
        <v>7.19</v>
      </c>
      <c r="H108" s="320">
        <f t="shared" si="3"/>
        <v>1797.5</v>
      </c>
      <c r="I108" s="321">
        <v>0.05</v>
      </c>
      <c r="J108" s="321"/>
      <c r="K108" s="323" t="s">
        <v>27</v>
      </c>
      <c r="L108" s="318">
        <v>13</v>
      </c>
      <c r="M108" s="318">
        <v>1.5</v>
      </c>
      <c r="N108" s="318">
        <v>74.7</v>
      </c>
      <c r="O108" s="318">
        <v>3.2</v>
      </c>
      <c r="P108" s="318">
        <v>120</v>
      </c>
      <c r="Q108" s="323" t="s">
        <v>27</v>
      </c>
    </row>
    <row r="109" spans="2:17">
      <c r="B109" s="315" t="s">
        <v>46</v>
      </c>
      <c r="C109" s="316" t="s">
        <v>217</v>
      </c>
      <c r="D109" s="318">
        <v>1000</v>
      </c>
      <c r="E109" s="318" t="s">
        <v>22</v>
      </c>
      <c r="F109" s="318"/>
      <c r="G109" s="319">
        <v>9.98</v>
      </c>
      <c r="H109" s="320">
        <f t="shared" si="3"/>
        <v>9980</v>
      </c>
      <c r="I109" s="321">
        <v>0</v>
      </c>
      <c r="J109" s="321" t="s">
        <v>48</v>
      </c>
      <c r="K109" s="323" t="s">
        <v>27</v>
      </c>
      <c r="L109" s="318">
        <v>29.55</v>
      </c>
      <c r="M109" s="318">
        <v>7.72</v>
      </c>
      <c r="N109" s="318">
        <v>0</v>
      </c>
      <c r="O109" s="318">
        <v>0</v>
      </c>
      <c r="P109" s="318">
        <v>393</v>
      </c>
      <c r="Q109" s="323" t="s">
        <v>27</v>
      </c>
    </row>
    <row r="110" spans="2:17">
      <c r="B110" s="434" t="s">
        <v>117</v>
      </c>
      <c r="C110" s="316" t="s">
        <v>218</v>
      </c>
      <c r="D110" s="435">
        <v>30</v>
      </c>
      <c r="E110" s="435" t="s">
        <v>22</v>
      </c>
      <c r="F110" s="435"/>
      <c r="G110" s="436">
        <v>12.68</v>
      </c>
      <c r="H110" s="320">
        <f t="shared" si="3"/>
        <v>380.4</v>
      </c>
      <c r="I110" s="321">
        <v>0</v>
      </c>
      <c r="J110" s="321"/>
      <c r="K110" s="330"/>
      <c r="L110" s="435">
        <v>2.66</v>
      </c>
      <c r="M110" s="435">
        <v>0.28000000000000003</v>
      </c>
      <c r="N110" s="435">
        <v>27.9</v>
      </c>
      <c r="O110" s="435">
        <v>0.4</v>
      </c>
      <c r="P110" s="435">
        <v>365</v>
      </c>
      <c r="Q110" s="330" t="s">
        <v>27</v>
      </c>
    </row>
    <row r="111" spans="2:17">
      <c r="B111" s="315" t="s">
        <v>43</v>
      </c>
      <c r="C111" s="316" t="s">
        <v>219</v>
      </c>
      <c r="D111" s="318">
        <v>500</v>
      </c>
      <c r="E111" s="318" t="s">
        <v>22</v>
      </c>
      <c r="F111" s="318" t="s">
        <v>76</v>
      </c>
      <c r="G111" s="319">
        <v>2.4</v>
      </c>
      <c r="H111" s="320">
        <f t="shared" si="3"/>
        <v>1200</v>
      </c>
      <c r="I111" s="321">
        <v>0</v>
      </c>
      <c r="J111" s="321" t="s">
        <v>220</v>
      </c>
      <c r="K111" s="323" t="s">
        <v>27</v>
      </c>
      <c r="L111" s="318">
        <v>0.5</v>
      </c>
      <c r="M111" s="318">
        <v>0.1</v>
      </c>
      <c r="N111" s="318">
        <v>2.2999999999999998</v>
      </c>
      <c r="O111" s="318">
        <v>0.7</v>
      </c>
      <c r="P111" s="318">
        <v>2</v>
      </c>
      <c r="Q111" s="323" t="s">
        <v>27</v>
      </c>
    </row>
    <row r="112" spans="2:17">
      <c r="B112" s="315" t="s">
        <v>35</v>
      </c>
      <c r="C112" s="316" t="s">
        <v>221</v>
      </c>
      <c r="D112" s="318">
        <v>500</v>
      </c>
      <c r="E112" s="318" t="s">
        <v>22</v>
      </c>
      <c r="F112" s="318" t="s">
        <v>99</v>
      </c>
      <c r="G112" s="319">
        <v>3.6</v>
      </c>
      <c r="H112" s="320">
        <f t="shared" si="3"/>
        <v>1800</v>
      </c>
      <c r="I112" s="321">
        <v>0</v>
      </c>
      <c r="J112" s="331" t="s">
        <v>222</v>
      </c>
      <c r="K112" s="323" t="s">
        <v>27</v>
      </c>
      <c r="L112" s="318">
        <v>0.3</v>
      </c>
      <c r="M112" s="318">
        <v>0.2</v>
      </c>
      <c r="N112" s="318">
        <v>12.9</v>
      </c>
      <c r="O112" s="318">
        <v>4.4000000000000004</v>
      </c>
      <c r="P112" s="318">
        <v>1</v>
      </c>
      <c r="Q112" s="323" t="s">
        <v>27</v>
      </c>
    </row>
    <row r="113" spans="2:17">
      <c r="B113" s="315" t="s">
        <v>49</v>
      </c>
      <c r="C113" s="316" t="s">
        <v>223</v>
      </c>
      <c r="D113" s="318">
        <v>100</v>
      </c>
      <c r="E113" s="318" t="s">
        <v>22</v>
      </c>
      <c r="F113" s="318"/>
      <c r="G113" s="319">
        <v>20</v>
      </c>
      <c r="H113" s="320">
        <f t="shared" si="3"/>
        <v>2000</v>
      </c>
      <c r="I113" s="321">
        <v>0</v>
      </c>
      <c r="J113" s="321" t="s">
        <v>170</v>
      </c>
      <c r="K113" s="323" t="s">
        <v>27</v>
      </c>
      <c r="L113" s="318">
        <v>2.97</v>
      </c>
      <c r="M113" s="318">
        <v>0.79</v>
      </c>
      <c r="N113" s="318">
        <v>6.33</v>
      </c>
      <c r="O113" s="318">
        <v>3.3</v>
      </c>
      <c r="P113" s="318">
        <v>56</v>
      </c>
      <c r="Q113" s="323" t="s">
        <v>27</v>
      </c>
    </row>
    <row r="114" spans="2:17">
      <c r="B114" s="438" t="s">
        <v>32</v>
      </c>
      <c r="C114" s="439" t="s">
        <v>224</v>
      </c>
      <c r="D114" s="440">
        <v>1000</v>
      </c>
      <c r="E114" s="440" t="s">
        <v>22</v>
      </c>
      <c r="F114" s="440"/>
      <c r="G114" s="441">
        <v>26.99</v>
      </c>
      <c r="H114" s="442">
        <v>26990</v>
      </c>
      <c r="I114" s="443">
        <v>0</v>
      </c>
      <c r="J114" s="443" t="s">
        <v>93</v>
      </c>
      <c r="K114" s="453" t="s">
        <v>27</v>
      </c>
      <c r="L114" s="440">
        <v>62.8</v>
      </c>
      <c r="M114" s="440">
        <v>2.4</v>
      </c>
      <c r="N114" s="440">
        <v>0</v>
      </c>
      <c r="O114" s="440">
        <v>0</v>
      </c>
      <c r="P114" s="440">
        <v>7027</v>
      </c>
      <c r="Q114" s="444"/>
    </row>
    <row r="115" spans="2:17">
      <c r="B115" s="315" t="s">
        <v>97</v>
      </c>
      <c r="C115" s="316" t="s">
        <v>225</v>
      </c>
      <c r="D115" s="318">
        <v>500</v>
      </c>
      <c r="E115" s="318" t="s">
        <v>22</v>
      </c>
      <c r="F115" s="318" t="s">
        <v>76</v>
      </c>
      <c r="G115" s="319">
        <v>4.9000000000000004</v>
      </c>
      <c r="H115" s="320">
        <f t="shared" ref="H115:H141" si="4">D115*G115</f>
        <v>2450</v>
      </c>
      <c r="I115" s="321">
        <v>0</v>
      </c>
      <c r="J115" s="321" t="s">
        <v>226</v>
      </c>
      <c r="K115" s="323" t="s">
        <v>27</v>
      </c>
      <c r="L115" s="318">
        <v>1</v>
      </c>
      <c r="M115" s="318">
        <v>0.3</v>
      </c>
      <c r="N115" s="318">
        <v>6.3</v>
      </c>
      <c r="O115" s="318">
        <v>1.7</v>
      </c>
      <c r="P115" s="318">
        <v>4</v>
      </c>
      <c r="Q115" s="323" t="s">
        <v>27</v>
      </c>
    </row>
    <row r="116" spans="2:17">
      <c r="B116" s="315" t="s">
        <v>90</v>
      </c>
      <c r="C116" s="316" t="s">
        <v>227</v>
      </c>
      <c r="D116" s="318">
        <v>60</v>
      </c>
      <c r="E116" s="318" t="s">
        <v>22</v>
      </c>
      <c r="F116" s="318"/>
      <c r="G116" s="319">
        <v>56.33</v>
      </c>
      <c r="H116" s="320">
        <f t="shared" si="4"/>
        <v>3379.7999999999997</v>
      </c>
      <c r="I116" s="321">
        <v>0.19</v>
      </c>
      <c r="J116" s="321" t="s">
        <v>228</v>
      </c>
      <c r="K116" s="323" t="s">
        <v>27</v>
      </c>
      <c r="L116" s="318">
        <v>0.01</v>
      </c>
      <c r="M116" s="318">
        <v>0</v>
      </c>
      <c r="N116" s="318">
        <v>0.06</v>
      </c>
      <c r="O116" s="318">
        <v>0</v>
      </c>
      <c r="P116" s="318">
        <v>0</v>
      </c>
      <c r="Q116" s="323" t="s">
        <v>27</v>
      </c>
    </row>
    <row r="117" spans="2:17">
      <c r="B117" s="315" t="s">
        <v>35</v>
      </c>
      <c r="C117" s="316" t="s">
        <v>229</v>
      </c>
      <c r="D117" s="318">
        <v>2000</v>
      </c>
      <c r="E117" s="318" t="s">
        <v>22</v>
      </c>
      <c r="F117" s="318" t="s">
        <v>99</v>
      </c>
      <c r="G117" s="319">
        <v>2.0499999999999998</v>
      </c>
      <c r="H117" s="320">
        <f t="shared" si="4"/>
        <v>4100</v>
      </c>
      <c r="I117" s="321">
        <v>0</v>
      </c>
      <c r="J117" s="331" t="s">
        <v>230</v>
      </c>
      <c r="K117" s="323" t="s">
        <v>27</v>
      </c>
      <c r="L117" s="318">
        <v>0.5</v>
      </c>
      <c r="M117" s="318">
        <v>0.1</v>
      </c>
      <c r="N117" s="318">
        <v>12.4</v>
      </c>
      <c r="O117" s="318">
        <v>1.7</v>
      </c>
      <c r="P117" s="318">
        <v>3</v>
      </c>
      <c r="Q117" s="323" t="s">
        <v>27</v>
      </c>
    </row>
    <row r="118" spans="2:17">
      <c r="B118" s="315" t="s">
        <v>97</v>
      </c>
      <c r="C118" s="316" t="s">
        <v>231</v>
      </c>
      <c r="D118" s="318">
        <v>500</v>
      </c>
      <c r="E118" s="318" t="s">
        <v>22</v>
      </c>
      <c r="F118" s="318" t="s">
        <v>37</v>
      </c>
      <c r="G118" s="319">
        <v>2.9</v>
      </c>
      <c r="H118" s="320">
        <f t="shared" si="4"/>
        <v>1450</v>
      </c>
      <c r="I118" s="321">
        <v>0</v>
      </c>
      <c r="J118" s="321" t="s">
        <v>116</v>
      </c>
      <c r="K118" s="323" t="s">
        <v>27</v>
      </c>
      <c r="L118" s="318">
        <v>0.9</v>
      </c>
      <c r="M118" s="318">
        <v>0.3</v>
      </c>
      <c r="N118" s="318">
        <v>30.6</v>
      </c>
      <c r="O118" s="318">
        <v>2.2999999999999998</v>
      </c>
      <c r="P118" s="318">
        <v>0</v>
      </c>
      <c r="Q118" s="323" t="s">
        <v>27</v>
      </c>
    </row>
    <row r="119" spans="2:17">
      <c r="B119" s="315" t="s">
        <v>128</v>
      </c>
      <c r="C119" s="316" t="s">
        <v>232</v>
      </c>
      <c r="D119" s="318">
        <v>250</v>
      </c>
      <c r="E119" s="318" t="s">
        <v>22</v>
      </c>
      <c r="F119" s="318"/>
      <c r="G119" s="319">
        <v>20.440000000000001</v>
      </c>
      <c r="H119" s="320">
        <f t="shared" si="4"/>
        <v>5110</v>
      </c>
      <c r="I119" s="321">
        <v>0</v>
      </c>
      <c r="J119" s="321" t="s">
        <v>233</v>
      </c>
      <c r="K119" s="323" t="s">
        <v>27</v>
      </c>
      <c r="L119" s="318">
        <v>17.5</v>
      </c>
      <c r="M119" s="318">
        <v>25.5</v>
      </c>
      <c r="N119" s="318">
        <v>0.3</v>
      </c>
      <c r="O119" s="318">
        <v>0</v>
      </c>
      <c r="P119" s="318">
        <v>935</v>
      </c>
      <c r="Q119" s="323" t="s">
        <v>27</v>
      </c>
    </row>
    <row r="120" spans="2:17">
      <c r="B120" s="315" t="s">
        <v>128</v>
      </c>
      <c r="C120" s="316" t="s">
        <v>234</v>
      </c>
      <c r="D120" s="318">
        <v>500</v>
      </c>
      <c r="E120" s="318" t="s">
        <v>22</v>
      </c>
      <c r="F120" s="318"/>
      <c r="G120" s="319">
        <v>18.34</v>
      </c>
      <c r="H120" s="320">
        <f t="shared" si="4"/>
        <v>9170</v>
      </c>
      <c r="I120" s="321">
        <v>0</v>
      </c>
      <c r="J120" s="321" t="s">
        <v>235</v>
      </c>
      <c r="K120" s="323" t="s">
        <v>27</v>
      </c>
      <c r="L120" s="318">
        <v>22.96</v>
      </c>
      <c r="M120" s="318">
        <v>26.64</v>
      </c>
      <c r="N120" s="318">
        <v>0.37</v>
      </c>
      <c r="O120" s="318">
        <v>0</v>
      </c>
      <c r="P120" s="318">
        <v>479</v>
      </c>
      <c r="Q120" s="323" t="s">
        <v>27</v>
      </c>
    </row>
    <row r="121" spans="2:17">
      <c r="B121" s="315" t="s">
        <v>128</v>
      </c>
      <c r="C121" s="316" t="s">
        <v>236</v>
      </c>
      <c r="D121" s="318">
        <v>400</v>
      </c>
      <c r="E121" s="318" t="s">
        <v>22</v>
      </c>
      <c r="F121" s="318"/>
      <c r="G121" s="319">
        <v>14.7</v>
      </c>
      <c r="H121" s="320">
        <f t="shared" si="4"/>
        <v>5880</v>
      </c>
      <c r="I121" s="321">
        <v>0</v>
      </c>
      <c r="J121" s="321" t="s">
        <v>237</v>
      </c>
      <c r="K121" s="323" t="s">
        <v>27</v>
      </c>
      <c r="L121" s="318">
        <v>7.55</v>
      </c>
      <c r="M121" s="318">
        <v>34.869999999999997</v>
      </c>
      <c r="N121" s="318">
        <v>2.66</v>
      </c>
      <c r="O121" s="318">
        <v>0</v>
      </c>
      <c r="P121" s="318">
        <v>296</v>
      </c>
      <c r="Q121" s="323" t="s">
        <v>27</v>
      </c>
    </row>
    <row r="122" spans="2:17">
      <c r="B122" s="315" t="s">
        <v>128</v>
      </c>
      <c r="C122" s="316" t="s">
        <v>238</v>
      </c>
      <c r="D122" s="318">
        <v>1000</v>
      </c>
      <c r="E122" s="318" t="s">
        <v>22</v>
      </c>
      <c r="F122" s="318"/>
      <c r="G122" s="319">
        <v>25.65</v>
      </c>
      <c r="H122" s="320">
        <f t="shared" si="4"/>
        <v>25650</v>
      </c>
      <c r="I122" s="321">
        <v>0</v>
      </c>
      <c r="J122" s="321" t="s">
        <v>239</v>
      </c>
      <c r="K122" s="323" t="s">
        <v>27</v>
      </c>
      <c r="L122" s="318">
        <v>7</v>
      </c>
      <c r="M122" s="318">
        <v>42</v>
      </c>
      <c r="N122" s="318">
        <v>10</v>
      </c>
      <c r="O122" s="318">
        <v>0</v>
      </c>
      <c r="P122" s="318">
        <v>550</v>
      </c>
      <c r="Q122" s="323" t="s">
        <v>27</v>
      </c>
    </row>
    <row r="123" spans="2:17">
      <c r="B123" s="315" t="s">
        <v>128</v>
      </c>
      <c r="C123" s="316" t="s">
        <v>240</v>
      </c>
      <c r="D123" s="318">
        <v>1500</v>
      </c>
      <c r="E123" s="318" t="s">
        <v>22</v>
      </c>
      <c r="F123" s="318"/>
      <c r="G123" s="319">
        <v>21.93</v>
      </c>
      <c r="H123" s="320">
        <f t="shared" si="4"/>
        <v>32895</v>
      </c>
      <c r="I123" s="321">
        <v>0</v>
      </c>
      <c r="J123" s="321"/>
      <c r="K123" s="323" t="s">
        <v>27</v>
      </c>
      <c r="L123" s="318">
        <v>22.17</v>
      </c>
      <c r="M123" s="318">
        <v>22.35</v>
      </c>
      <c r="N123" s="318">
        <v>2.19</v>
      </c>
      <c r="O123" s="318">
        <v>0</v>
      </c>
      <c r="P123" s="318">
        <v>627</v>
      </c>
      <c r="Q123" s="323" t="s">
        <v>27</v>
      </c>
    </row>
    <row r="124" spans="2:17">
      <c r="B124" s="438" t="s">
        <v>32</v>
      </c>
      <c r="C124" s="439" t="s">
        <v>241</v>
      </c>
      <c r="D124" s="440">
        <v>450</v>
      </c>
      <c r="E124" s="440" t="s">
        <v>22</v>
      </c>
      <c r="F124" s="440"/>
      <c r="G124" s="441">
        <v>60.89</v>
      </c>
      <c r="H124" s="442">
        <f t="shared" si="4"/>
        <v>27400.5</v>
      </c>
      <c r="I124" s="443">
        <v>0</v>
      </c>
      <c r="J124" s="443" t="s">
        <v>51</v>
      </c>
      <c r="K124" s="444" t="s">
        <v>27</v>
      </c>
      <c r="L124" s="440">
        <v>20.260000000000002</v>
      </c>
      <c r="M124" s="440">
        <v>24.78</v>
      </c>
      <c r="N124" s="440">
        <v>1.94</v>
      </c>
      <c r="O124" s="440">
        <v>0</v>
      </c>
      <c r="P124" s="440">
        <v>566</v>
      </c>
      <c r="Q124" s="444" t="s">
        <v>27</v>
      </c>
    </row>
    <row r="125" spans="2:17">
      <c r="B125" s="315" t="s">
        <v>39</v>
      </c>
      <c r="C125" s="316" t="s">
        <v>242</v>
      </c>
      <c r="D125" s="318">
        <v>500</v>
      </c>
      <c r="E125" s="318" t="s">
        <v>22</v>
      </c>
      <c r="F125" s="318" t="s">
        <v>76</v>
      </c>
      <c r="G125" s="319">
        <v>3.6</v>
      </c>
      <c r="H125" s="320">
        <f t="shared" si="4"/>
        <v>1800</v>
      </c>
      <c r="I125" s="321">
        <v>0</v>
      </c>
      <c r="J125" s="321" t="s">
        <v>34</v>
      </c>
      <c r="K125" s="323" t="s">
        <v>27</v>
      </c>
      <c r="L125" s="318">
        <v>1.5</v>
      </c>
      <c r="M125" s="318">
        <v>0.2</v>
      </c>
      <c r="N125" s="318">
        <v>10.1</v>
      </c>
      <c r="O125" s="318">
        <v>2.7</v>
      </c>
      <c r="P125" s="318">
        <v>13</v>
      </c>
      <c r="Q125" s="323" t="s">
        <v>27</v>
      </c>
    </row>
    <row r="126" spans="2:17">
      <c r="B126" s="315" t="s">
        <v>49</v>
      </c>
      <c r="C126" s="316" t="s">
        <v>243</v>
      </c>
      <c r="D126" s="318">
        <v>50</v>
      </c>
      <c r="E126" s="318" t="s">
        <v>22</v>
      </c>
      <c r="F126" s="318"/>
      <c r="G126" s="319">
        <v>62.4</v>
      </c>
      <c r="H126" s="320">
        <f t="shared" si="4"/>
        <v>3120</v>
      </c>
      <c r="I126" s="321">
        <v>0</v>
      </c>
      <c r="J126" s="321" t="s">
        <v>170</v>
      </c>
      <c r="K126" s="323" t="s">
        <v>27</v>
      </c>
      <c r="L126" s="318">
        <v>3.31</v>
      </c>
      <c r="M126" s="318">
        <v>5.86</v>
      </c>
      <c r="N126" s="318">
        <v>20.7</v>
      </c>
      <c r="O126" s="318">
        <v>14.1</v>
      </c>
      <c r="P126" s="318">
        <v>9</v>
      </c>
      <c r="Q126" s="323" t="s">
        <v>27</v>
      </c>
    </row>
    <row r="127" spans="2:17">
      <c r="B127" s="315" t="s">
        <v>68</v>
      </c>
      <c r="C127" s="316" t="s">
        <v>244</v>
      </c>
      <c r="D127" s="318">
        <v>1000</v>
      </c>
      <c r="E127" s="318" t="s">
        <v>22</v>
      </c>
      <c r="F127" s="318"/>
      <c r="G127" s="319">
        <v>1.05</v>
      </c>
      <c r="H127" s="320">
        <f t="shared" si="4"/>
        <v>1050</v>
      </c>
      <c r="I127" s="321">
        <v>0</v>
      </c>
      <c r="J127" s="321" t="s">
        <v>245</v>
      </c>
      <c r="K127" s="323" t="s">
        <v>27</v>
      </c>
      <c r="L127" s="318">
        <v>0</v>
      </c>
      <c r="M127" s="318">
        <v>0</v>
      </c>
      <c r="N127" s="318">
        <v>0</v>
      </c>
      <c r="O127" s="318">
        <v>0</v>
      </c>
      <c r="P127" s="318">
        <v>38758</v>
      </c>
      <c r="Q127" s="323" t="s">
        <v>27</v>
      </c>
    </row>
    <row r="128" spans="2:17">
      <c r="B128" s="315" t="s">
        <v>128</v>
      </c>
      <c r="C128" s="316" t="s">
        <v>246</v>
      </c>
      <c r="D128" s="318">
        <v>200</v>
      </c>
      <c r="E128" s="318" t="s">
        <v>25</v>
      </c>
      <c r="F128" s="318"/>
      <c r="G128" s="319">
        <v>12.8</v>
      </c>
      <c r="H128" s="320">
        <f t="shared" si="4"/>
        <v>2560</v>
      </c>
      <c r="I128" s="321">
        <v>0.19</v>
      </c>
      <c r="J128" s="321" t="s">
        <v>235</v>
      </c>
      <c r="K128" s="323" t="s">
        <v>27</v>
      </c>
      <c r="L128" s="318">
        <v>11</v>
      </c>
      <c r="M128" s="318">
        <v>1.5</v>
      </c>
      <c r="N128" s="318">
        <v>6.4</v>
      </c>
      <c r="O128" s="318">
        <v>0</v>
      </c>
      <c r="P128" s="318">
        <v>0</v>
      </c>
      <c r="Q128" s="323" t="s">
        <v>27</v>
      </c>
    </row>
    <row r="129" spans="2:17">
      <c r="B129" s="315" t="s">
        <v>46</v>
      </c>
      <c r="C129" s="316" t="s">
        <v>247</v>
      </c>
      <c r="D129" s="318">
        <v>600</v>
      </c>
      <c r="E129" s="318" t="s">
        <v>22</v>
      </c>
      <c r="F129" s="318"/>
      <c r="G129" s="319">
        <v>22.41</v>
      </c>
      <c r="H129" s="320">
        <f t="shared" si="4"/>
        <v>13446</v>
      </c>
      <c r="I129" s="321">
        <v>0</v>
      </c>
      <c r="J129" s="321" t="s">
        <v>198</v>
      </c>
      <c r="K129" s="323" t="s">
        <v>27</v>
      </c>
      <c r="L129" s="318">
        <v>20.079999999999998</v>
      </c>
      <c r="M129" s="318">
        <v>1.7</v>
      </c>
      <c r="N129" s="318">
        <v>0</v>
      </c>
      <c r="O129" s="318">
        <v>0</v>
      </c>
      <c r="P129" s="318">
        <v>52</v>
      </c>
      <c r="Q129" s="323" t="s">
        <v>27</v>
      </c>
    </row>
    <row r="130" spans="2:17">
      <c r="B130" s="315" t="s">
        <v>117</v>
      </c>
      <c r="C130" s="316" t="s">
        <v>248</v>
      </c>
      <c r="D130" s="318">
        <v>100</v>
      </c>
      <c r="E130" s="318" t="s">
        <v>25</v>
      </c>
      <c r="F130" s="318"/>
      <c r="G130" s="319">
        <f>G106/3</f>
        <v>1.1866666666666668</v>
      </c>
      <c r="H130" s="320">
        <f t="shared" si="4"/>
        <v>118.66666666666667</v>
      </c>
      <c r="I130" s="321">
        <v>0</v>
      </c>
      <c r="J130" s="321"/>
      <c r="K130" s="323"/>
      <c r="L130" s="318">
        <v>0.11</v>
      </c>
      <c r="M130" s="318">
        <v>0</v>
      </c>
      <c r="N130" s="318">
        <v>0.38</v>
      </c>
      <c r="O130" s="318">
        <v>0</v>
      </c>
      <c r="P130" s="318">
        <v>2</v>
      </c>
      <c r="Q130" s="330" t="s">
        <v>27</v>
      </c>
    </row>
    <row r="131" spans="2:17">
      <c r="B131" s="315" t="s">
        <v>97</v>
      </c>
      <c r="C131" s="316" t="s">
        <v>249</v>
      </c>
      <c r="D131" s="318">
        <v>250</v>
      </c>
      <c r="E131" s="318" t="s">
        <v>22</v>
      </c>
      <c r="F131" s="318"/>
      <c r="G131" s="319">
        <v>9.6</v>
      </c>
      <c r="H131" s="320">
        <f t="shared" si="4"/>
        <v>2400</v>
      </c>
      <c r="I131" s="321">
        <v>0</v>
      </c>
      <c r="J131" s="321"/>
      <c r="K131" s="323" t="s">
        <v>27</v>
      </c>
      <c r="L131" s="318">
        <v>0.79</v>
      </c>
      <c r="M131" s="318">
        <v>0</v>
      </c>
      <c r="N131" s="318">
        <v>4.76</v>
      </c>
      <c r="O131" s="318">
        <v>1.6</v>
      </c>
      <c r="P131" s="318">
        <v>4</v>
      </c>
      <c r="Q131" s="323" t="s">
        <v>27</v>
      </c>
    </row>
    <row r="132" spans="2:17">
      <c r="B132" s="315" t="s">
        <v>97</v>
      </c>
      <c r="C132" s="316" t="s">
        <v>250</v>
      </c>
      <c r="D132" s="318">
        <v>500</v>
      </c>
      <c r="E132" s="318" t="s">
        <v>22</v>
      </c>
      <c r="F132" s="318" t="s">
        <v>99</v>
      </c>
      <c r="G132" s="319">
        <v>3.38</v>
      </c>
      <c r="H132" s="320">
        <f t="shared" si="4"/>
        <v>1690</v>
      </c>
      <c r="I132" s="321">
        <v>0</v>
      </c>
      <c r="J132" s="321" t="s">
        <v>251</v>
      </c>
      <c r="K132" s="323" t="s">
        <v>27</v>
      </c>
      <c r="L132" s="318">
        <v>0.9</v>
      </c>
      <c r="M132" s="318">
        <v>0.1</v>
      </c>
      <c r="N132" s="318">
        <v>4.0999999999999996</v>
      </c>
      <c r="O132" s="318">
        <v>1.2</v>
      </c>
      <c r="P132" s="318">
        <v>6</v>
      </c>
      <c r="Q132" s="323" t="s">
        <v>27</v>
      </c>
    </row>
    <row r="133" spans="2:17">
      <c r="B133" s="315" t="s">
        <v>35</v>
      </c>
      <c r="C133" s="316" t="s">
        <v>252</v>
      </c>
      <c r="D133" s="318">
        <v>500</v>
      </c>
      <c r="E133" s="318" t="s">
        <v>22</v>
      </c>
      <c r="F133" s="318" t="s">
        <v>73</v>
      </c>
      <c r="G133" s="319">
        <v>3.4</v>
      </c>
      <c r="H133" s="320">
        <f t="shared" si="4"/>
        <v>1700</v>
      </c>
      <c r="I133" s="321">
        <v>0</v>
      </c>
      <c r="J133" s="331" t="s">
        <v>253</v>
      </c>
      <c r="K133" s="323" t="s">
        <v>27</v>
      </c>
      <c r="L133" s="318">
        <v>2</v>
      </c>
      <c r="M133" s="318">
        <v>0.2</v>
      </c>
      <c r="N133" s="318">
        <v>10.199999999999999</v>
      </c>
      <c r="O133" s="318">
        <v>2</v>
      </c>
      <c r="P133" s="318">
        <v>0</v>
      </c>
      <c r="Q133" s="323" t="s">
        <v>27</v>
      </c>
    </row>
    <row r="134" spans="2:17">
      <c r="B134" s="315" t="s">
        <v>49</v>
      </c>
      <c r="C134" s="316" t="s">
        <v>254</v>
      </c>
      <c r="D134" s="318">
        <v>50</v>
      </c>
      <c r="E134" s="318" t="s">
        <v>22</v>
      </c>
      <c r="F134" s="318"/>
      <c r="G134" s="319">
        <v>71.2</v>
      </c>
      <c r="H134" s="320">
        <f t="shared" si="4"/>
        <v>3560</v>
      </c>
      <c r="I134" s="321">
        <v>0</v>
      </c>
      <c r="J134" s="321" t="s">
        <v>170</v>
      </c>
      <c r="K134" s="323" t="s">
        <v>27</v>
      </c>
      <c r="L134" s="318">
        <v>5.56</v>
      </c>
      <c r="M134" s="318">
        <v>1.68</v>
      </c>
      <c r="N134" s="318">
        <v>24.45</v>
      </c>
      <c r="O134" s="318">
        <v>14</v>
      </c>
      <c r="P134" s="318">
        <v>9</v>
      </c>
      <c r="Q134" s="323" t="s">
        <v>27</v>
      </c>
    </row>
    <row r="135" spans="2:17">
      <c r="B135" s="315" t="s">
        <v>35</v>
      </c>
      <c r="C135" s="316" t="s">
        <v>255</v>
      </c>
      <c r="D135" s="318">
        <v>500</v>
      </c>
      <c r="E135" s="318" t="s">
        <v>22</v>
      </c>
      <c r="F135" s="318" t="s">
        <v>256</v>
      </c>
      <c r="G135" s="319">
        <v>5.6</v>
      </c>
      <c r="H135" s="320">
        <f t="shared" si="4"/>
        <v>2800</v>
      </c>
      <c r="I135" s="321">
        <v>0</v>
      </c>
      <c r="J135" s="321" t="s">
        <v>257</v>
      </c>
      <c r="K135" s="323" t="s">
        <v>27</v>
      </c>
      <c r="L135" s="318">
        <v>1.5</v>
      </c>
      <c r="M135" s="318">
        <v>0.5</v>
      </c>
      <c r="N135" s="318">
        <v>14.2</v>
      </c>
      <c r="O135" s="318">
        <v>5.0999999999999996</v>
      </c>
      <c r="P135" s="318">
        <v>0</v>
      </c>
      <c r="Q135" s="323" t="s">
        <v>27</v>
      </c>
    </row>
    <row r="136" spans="2:17">
      <c r="B136" s="315" t="s">
        <v>35</v>
      </c>
      <c r="C136" s="316" t="s">
        <v>258</v>
      </c>
      <c r="D136" s="318">
        <v>500</v>
      </c>
      <c r="E136" s="318" t="s">
        <v>22</v>
      </c>
      <c r="F136" s="318" t="s">
        <v>259</v>
      </c>
      <c r="G136" s="319">
        <v>4.9800000000000004</v>
      </c>
      <c r="H136" s="320">
        <f t="shared" si="4"/>
        <v>2490</v>
      </c>
      <c r="I136" s="321">
        <v>0</v>
      </c>
      <c r="J136" s="321" t="s">
        <v>260</v>
      </c>
      <c r="K136" s="323" t="s">
        <v>27</v>
      </c>
      <c r="L136" s="318">
        <v>0.68</v>
      </c>
      <c r="M136" s="318">
        <v>0.15</v>
      </c>
      <c r="N136" s="318">
        <v>17.5</v>
      </c>
      <c r="O136" s="318">
        <v>0.8</v>
      </c>
      <c r="P136" s="318">
        <v>2</v>
      </c>
      <c r="Q136" s="323" t="s">
        <v>27</v>
      </c>
    </row>
    <row r="137" spans="2:17">
      <c r="B137" s="315" t="s">
        <v>35</v>
      </c>
      <c r="C137" s="316" t="s">
        <v>261</v>
      </c>
      <c r="D137" s="318">
        <v>1000</v>
      </c>
      <c r="E137" s="318" t="s">
        <v>22</v>
      </c>
      <c r="F137" s="318" t="s">
        <v>262</v>
      </c>
      <c r="G137" s="319">
        <v>10.99</v>
      </c>
      <c r="H137" s="320">
        <f t="shared" si="4"/>
        <v>10990</v>
      </c>
      <c r="I137" s="321">
        <v>0</v>
      </c>
      <c r="J137" s="321" t="s">
        <v>263</v>
      </c>
      <c r="K137" s="323" t="s">
        <v>27</v>
      </c>
      <c r="L137" s="318">
        <v>0.72</v>
      </c>
      <c r="M137" s="318">
        <v>0.16</v>
      </c>
      <c r="N137" s="318">
        <v>18.100000000000001</v>
      </c>
      <c r="O137" s="318">
        <v>0.9</v>
      </c>
      <c r="P137" s="318">
        <v>2</v>
      </c>
      <c r="Q137" s="323" t="s">
        <v>27</v>
      </c>
    </row>
    <row r="138" spans="2:17">
      <c r="B138" s="315" t="s">
        <v>35</v>
      </c>
      <c r="C138" s="316" t="s">
        <v>264</v>
      </c>
      <c r="D138" s="318">
        <v>800</v>
      </c>
      <c r="E138" s="318" t="s">
        <v>22</v>
      </c>
      <c r="F138" s="318" t="s">
        <v>265</v>
      </c>
      <c r="G138" s="319">
        <v>14.09</v>
      </c>
      <c r="H138" s="320">
        <f t="shared" si="4"/>
        <v>11272</v>
      </c>
      <c r="I138" s="321">
        <v>0</v>
      </c>
      <c r="J138" s="321" t="s">
        <v>263</v>
      </c>
      <c r="K138" s="323" t="s">
        <v>27</v>
      </c>
      <c r="L138" s="318">
        <v>0.72</v>
      </c>
      <c r="M138" s="318">
        <v>0.16</v>
      </c>
      <c r="N138" s="318">
        <v>18.100000000000001</v>
      </c>
      <c r="O138" s="318">
        <v>0.9</v>
      </c>
      <c r="P138" s="318">
        <v>2</v>
      </c>
      <c r="Q138" s="323" t="s">
        <v>27</v>
      </c>
    </row>
    <row r="139" spans="2:17">
      <c r="B139" s="315" t="s">
        <v>39</v>
      </c>
      <c r="C139" s="316" t="s">
        <v>266</v>
      </c>
      <c r="D139" s="318">
        <v>500</v>
      </c>
      <c r="E139" s="318" t="s">
        <v>22</v>
      </c>
      <c r="F139" s="318"/>
      <c r="G139" s="319">
        <v>2.8</v>
      </c>
      <c r="H139" s="320">
        <f t="shared" si="4"/>
        <v>1400</v>
      </c>
      <c r="I139" s="321">
        <v>0</v>
      </c>
      <c r="J139" s="321" t="s">
        <v>267</v>
      </c>
      <c r="K139" s="323" t="s">
        <v>27</v>
      </c>
      <c r="L139" s="318">
        <v>0.7</v>
      </c>
      <c r="M139" s="332">
        <v>0.2</v>
      </c>
      <c r="N139" s="318">
        <v>36.6</v>
      </c>
      <c r="O139" s="318">
        <v>2.7</v>
      </c>
      <c r="P139" s="318">
        <v>4</v>
      </c>
      <c r="Q139" s="323" t="s">
        <v>27</v>
      </c>
    </row>
    <row r="140" spans="2:17">
      <c r="B140" s="315" t="s">
        <v>43</v>
      </c>
      <c r="C140" s="316" t="s">
        <v>268</v>
      </c>
      <c r="D140" s="318">
        <v>500</v>
      </c>
      <c r="E140" s="318" t="s">
        <v>22</v>
      </c>
      <c r="F140" s="318"/>
      <c r="G140" s="319">
        <v>2.6</v>
      </c>
      <c r="H140" s="320">
        <f t="shared" si="4"/>
        <v>1300</v>
      </c>
      <c r="I140" s="321">
        <v>0</v>
      </c>
      <c r="J140" s="331" t="s">
        <v>269</v>
      </c>
      <c r="K140" s="323" t="s">
        <v>27</v>
      </c>
      <c r="L140" s="318">
        <v>0.7</v>
      </c>
      <c r="M140" s="318">
        <v>0.1</v>
      </c>
      <c r="N140" s="318">
        <v>9.5</v>
      </c>
      <c r="O140" s="318">
        <v>1.3</v>
      </c>
      <c r="P140" s="318">
        <v>35</v>
      </c>
      <c r="Q140" s="323" t="s">
        <v>27</v>
      </c>
    </row>
    <row r="141" spans="2:17">
      <c r="B141" s="315" t="s">
        <v>43</v>
      </c>
      <c r="C141" s="316" t="s">
        <v>270</v>
      </c>
      <c r="D141" s="318">
        <v>500</v>
      </c>
      <c r="E141" s="318" t="s">
        <v>22</v>
      </c>
      <c r="F141" s="318"/>
      <c r="G141" s="319">
        <v>4.2</v>
      </c>
      <c r="H141" s="320">
        <f t="shared" si="4"/>
        <v>2100</v>
      </c>
      <c r="I141" s="321">
        <v>0</v>
      </c>
      <c r="J141" s="321" t="s">
        <v>141</v>
      </c>
      <c r="K141" s="323" t="s">
        <v>27</v>
      </c>
      <c r="L141" s="318">
        <v>1.05</v>
      </c>
      <c r="M141" s="318">
        <v>0</v>
      </c>
      <c r="N141" s="318">
        <v>4.21</v>
      </c>
      <c r="O141" s="318">
        <v>1.1000000000000001</v>
      </c>
      <c r="P141" s="318">
        <v>0</v>
      </c>
      <c r="Q141" s="323" t="s">
        <v>27</v>
      </c>
    </row>
  </sheetData>
  <sortState ref="B7:Q141">
    <sortCondition ref="C7:C141"/>
  </sortState>
  <mergeCells count="9">
    <mergeCell ref="D3:N3"/>
    <mergeCell ref="B5:B6"/>
    <mergeCell ref="C5:C6"/>
    <mergeCell ref="L5:Q5"/>
    <mergeCell ref="H5:H6"/>
    <mergeCell ref="K5:K6"/>
    <mergeCell ref="D5:G5"/>
    <mergeCell ref="I5:I6"/>
    <mergeCell ref="J5:J6"/>
  </mergeCells>
  <conditionalFormatting sqref="I7:I133">
    <cfRule type="cellIs" dxfId="2" priority="1" operator="greaterThan">
      <formula>0</formula>
    </cfRule>
  </conditionalFormatting>
  <dataValidations count="2">
    <dataValidation type="list" allowBlank="1" showInputMessage="1" showErrorMessage="1" sqref="E7:E141">
      <formula1>$S$6:$S$8</formula1>
    </dataValidation>
    <dataValidation allowBlank="1" showInputMessage="1" showErrorMessage="1" sqref="F7:F143"/>
  </dataValidations>
  <hyperlinks>
    <hyperlink ref="K19" r:id="rId1"/>
    <hyperlink ref="K71" r:id="rId2"/>
    <hyperlink ref="K72" r:id="rId3"/>
    <hyperlink ref="K21" r:id="rId4"/>
    <hyperlink ref="K57" r:id="rId5"/>
    <hyperlink ref="K107" r:id="rId6"/>
    <hyperlink ref="K106" r:id="rId7"/>
    <hyperlink ref="K103" r:id="rId8"/>
    <hyperlink ref="K99" r:id="rId9"/>
    <hyperlink ref="K36" r:id="rId10"/>
    <hyperlink ref="K132" r:id="rId11"/>
    <hyperlink ref="K37" r:id="rId12"/>
    <hyperlink ref="K115" r:id="rId13"/>
    <hyperlink ref="K118" r:id="rId14"/>
    <hyperlink ref="K13" r:id="rId15"/>
    <hyperlink ref="K137" r:id="rId16"/>
    <hyperlink ref="K136" r:id="rId17"/>
    <hyperlink ref="K138" r:id="rId18"/>
    <hyperlink ref="K30" r:id="rId19"/>
    <hyperlink ref="K34" r:id="rId20"/>
    <hyperlink ref="K39" r:id="rId21"/>
    <hyperlink ref="K135" r:id="rId22"/>
    <hyperlink ref="K133" r:id="rId23"/>
    <hyperlink ref="K117" r:id="rId24"/>
    <hyperlink ref="K112" r:id="rId25"/>
    <hyperlink ref="K105" r:id="rId26"/>
    <hyperlink ref="K96" r:id="rId27"/>
    <hyperlink ref="K95" r:id="rId28"/>
    <hyperlink ref="K92" r:id="rId29"/>
    <hyperlink ref="K89" r:id="rId30"/>
    <hyperlink ref="K86" r:id="rId31"/>
    <hyperlink ref="K85" r:id="rId32"/>
    <hyperlink ref="K67" r:id="rId33"/>
    <hyperlink ref="K65" r:id="rId34"/>
    <hyperlink ref="K60" r:id="rId35"/>
    <hyperlink ref="K59" r:id="rId36"/>
    <hyperlink ref="K55" r:id="rId37"/>
    <hyperlink ref="K47" r:id="rId38"/>
    <hyperlink ref="K45" r:id="rId39"/>
    <hyperlink ref="K81" r:id="rId40"/>
    <hyperlink ref="K24" r:id="rId41"/>
    <hyperlink ref="K64" r:id="rId42"/>
    <hyperlink ref="K20" r:id="rId43"/>
    <hyperlink ref="K61" r:id="rId44"/>
    <hyperlink ref="K141" r:id="rId45"/>
    <hyperlink ref="K140" r:id="rId46"/>
    <hyperlink ref="K111" r:id="rId47"/>
    <hyperlink ref="K91" r:id="rId48"/>
    <hyperlink ref="K80" r:id="rId49"/>
    <hyperlink ref="K69" r:id="rId50"/>
    <hyperlink ref="K58" r:id="rId51"/>
    <hyperlink ref="K48" r:id="rId52"/>
    <hyperlink ref="K28" r:id="rId53"/>
    <hyperlink ref="K25" r:id="rId54"/>
    <hyperlink ref="K16" r:id="rId55"/>
    <hyperlink ref="K139" r:id="rId56"/>
    <hyperlink ref="K125" r:id="rId57"/>
    <hyperlink ref="K104" r:id="rId58"/>
    <hyperlink ref="K101" r:id="rId59"/>
    <hyperlink ref="K75" r:id="rId60"/>
    <hyperlink ref="K18" r:id="rId61"/>
    <hyperlink ref="K87" r:id="rId62"/>
    <hyperlink ref="K62" r:id="rId63"/>
    <hyperlink ref="K12" r:id="rId64"/>
    <hyperlink ref="K108" r:id="rId65"/>
    <hyperlink ref="K84" r:id="rId66"/>
    <hyperlink ref="K14" r:id="rId67"/>
    <hyperlink ref="K51" r:id="rId68"/>
    <hyperlink ref="K109" r:id="rId69"/>
    <hyperlink ref="K52" r:id="rId70"/>
    <hyperlink ref="K94" r:id="rId71"/>
    <hyperlink ref="K76" r:id="rId72"/>
    <hyperlink ref="K83" r:id="rId73"/>
    <hyperlink ref="K129" r:id="rId74"/>
    <hyperlink ref="K74" r:id="rId75"/>
    <hyperlink ref="K53" r:id="rId76"/>
    <hyperlink ref="K78" r:id="rId77"/>
    <hyperlink ref="K79" r:id="rId78"/>
    <hyperlink ref="K88" r:id="rId79"/>
    <hyperlink ref="K119" r:id="rId80"/>
    <hyperlink ref="K120" r:id="rId81"/>
    <hyperlink ref="K122" r:id="rId82"/>
    <hyperlink ref="K123" r:id="rId83"/>
    <hyperlink ref="K124" r:id="rId84"/>
    <hyperlink ref="K121" r:id="rId85"/>
    <hyperlink ref="K128" r:id="rId86"/>
    <hyperlink ref="K7" r:id="rId87"/>
    <hyperlink ref="K8" r:id="rId88"/>
    <hyperlink ref="K9" r:id="rId89"/>
    <hyperlink ref="K66" r:id="rId90" location="position=6&amp;search_layout=stack&amp;type=item&amp;tracking_id=2ca7a155-a308-4c62-b21f-168768dc6b53"/>
    <hyperlink ref="K90" r:id="rId91"/>
    <hyperlink ref="K22" r:id="rId92"/>
    <hyperlink ref="K23" r:id="rId93"/>
    <hyperlink ref="K31" r:id="rId94"/>
    <hyperlink ref="K40" r:id="rId95"/>
    <hyperlink ref="K93" r:id="rId96"/>
    <hyperlink ref="K100" r:id="rId97"/>
    <hyperlink ref="K127" r:id="rId98"/>
    <hyperlink ref="K32" r:id="rId99"/>
    <hyperlink ref="K49" r:id="rId100"/>
    <hyperlink ref="K50" r:id="rId101"/>
    <hyperlink ref="K116" r:id="rId102"/>
    <hyperlink ref="K15" r:id="rId103"/>
    <hyperlink ref="K44" r:id="rId104"/>
    <hyperlink ref="K77" r:id="rId105"/>
    <hyperlink ref="K97" r:id="rId106"/>
    <hyperlink ref="K113" r:id="rId107"/>
    <hyperlink ref="K126" r:id="rId108"/>
    <hyperlink ref="K134" r:id="rId109"/>
    <hyperlink ref="K131" r:id="rId110"/>
    <hyperlink ref="K38" r:id="rId111"/>
    <hyperlink ref="Q19" r:id="rId112"/>
    <hyperlink ref="Q72:Q82" r:id="rId113" display="Click aquí"/>
    <hyperlink ref="K11" r:id="rId114"/>
    <hyperlink ref="Q69:Q71" r:id="rId115" display="Click aquí"/>
    <hyperlink ref="K68" r:id="rId116"/>
    <hyperlink ref="K82" r:id="rId117"/>
    <hyperlink ref="Q136" r:id="rId118"/>
    <hyperlink ref="Q86:Q89" r:id="rId119" display="Click aquí"/>
    <hyperlink ref="Q84:Q85" r:id="rId120" display="Click aquí"/>
    <hyperlink ref="Q109" r:id="rId121"/>
    <hyperlink ref="Q14" r:id="rId122"/>
    <hyperlink ref="Q51" r:id="rId123"/>
    <hyperlink ref="Q52" r:id="rId124"/>
    <hyperlink ref="Q83" r:id="rId125"/>
    <hyperlink ref="Q76" r:id="rId126"/>
    <hyperlink ref="Q94" r:id="rId127"/>
    <hyperlink ref="Q129" r:id="rId128"/>
    <hyperlink ref="Q74" r:id="rId129"/>
    <hyperlink ref="Q53" r:id="rId130"/>
    <hyperlink ref="Q78" r:id="rId131"/>
    <hyperlink ref="Q79" r:id="rId132"/>
    <hyperlink ref="Q88" r:id="rId133"/>
    <hyperlink ref="Q120" r:id="rId134"/>
    <hyperlink ref="Q122" r:id="rId135"/>
    <hyperlink ref="Q123" r:id="rId136"/>
    <hyperlink ref="Q121" r:id="rId137"/>
    <hyperlink ref="Q7" r:id="rId138"/>
    <hyperlink ref="Q8" r:id="rId139"/>
    <hyperlink ref="Q9" r:id="rId140"/>
    <hyperlink ref="Q66" r:id="rId141"/>
    <hyperlink ref="Q90" r:id="rId142"/>
    <hyperlink ref="Q22" r:id="rId143"/>
    <hyperlink ref="Q23" r:id="rId144"/>
    <hyperlink ref="Q31" r:id="rId145"/>
    <hyperlink ref="Q40" r:id="rId146"/>
    <hyperlink ref="Q93" r:id="rId147"/>
    <hyperlink ref="Q100" r:id="rId148"/>
    <hyperlink ref="Q127" r:id="rId149"/>
    <hyperlink ref="Q32" r:id="rId150"/>
    <hyperlink ref="Q50" r:id="rId151"/>
    <hyperlink ref="Q116" r:id="rId152"/>
    <hyperlink ref="Q15" r:id="rId153"/>
    <hyperlink ref="Q44" r:id="rId154"/>
    <hyperlink ref="Q97" r:id="rId155"/>
    <hyperlink ref="Q113" r:id="rId156"/>
    <hyperlink ref="Q8:Q45" r:id="rId157" display="Click aquí"/>
    <hyperlink ref="Q44:Q69" r:id="rId158" display="Click aquí"/>
    <hyperlink ref="Q119" r:id="rId159"/>
    <hyperlink ref="Q124" r:id="rId160" location=":~:text=Carbohidratos%201.94%20Humedad%2051.57%20Cenizas,Prote%C3%ADna%20b.h%2020.26%20Figura%202."/>
    <hyperlink ref="Q128" r:id="rId161"/>
    <hyperlink ref="Q49" r:id="rId162"/>
    <hyperlink ref="Q77" r:id="rId163"/>
    <hyperlink ref="Q126" r:id="rId164"/>
    <hyperlink ref="Q134" r:id="rId165"/>
    <hyperlink ref="I5:I6" r:id="rId166" display="Tarifa IVA ley vigente"/>
    <hyperlink ref="K46" r:id="rId167"/>
    <hyperlink ref="Q130" r:id="rId168"/>
    <hyperlink ref="Q102" r:id="rId169"/>
    <hyperlink ref="Q46" r:id="rId170"/>
    <hyperlink ref="Q63" r:id="rId171"/>
    <hyperlink ref="Q56" r:id="rId172"/>
    <hyperlink ref="Q98" r:id="rId173"/>
    <hyperlink ref="Q110" r:id="rId174"/>
    <hyperlink ref="K10" r:id="rId175"/>
    <hyperlink ref="K26" r:id="rId176"/>
    <hyperlink ref="K27" r:id="rId177"/>
    <hyperlink ref="K33" r:id="rId178"/>
    <hyperlink ref="K41" r:id="rId179"/>
    <hyperlink ref="K43" r:id="rId180"/>
    <hyperlink ref="K70" r:id="rId181"/>
    <hyperlink ref="K114" r:id="rId182"/>
    <hyperlink ref="K17" r:id="rId183"/>
    <hyperlink ref="K42" r:id="rId184"/>
    <hyperlink ref="K29" r:id="rId185"/>
    <hyperlink ref="K35" r:id="rId186"/>
    <hyperlink ref="K54" r:id="rId187"/>
  </hyperlinks>
  <pageMargins left="0.7" right="0.7" top="0.75" bottom="0.75" header="0.3" footer="0.3"/>
  <pageSetup orientation="portrait" r:id="rId188"/>
  <drawing r:id="rId189"/>
  <legacyDrawing r:id="rId19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2:O46"/>
  <sheetViews>
    <sheetView showGridLines="0" topLeftCell="A25" zoomScale="70" zoomScaleNormal="70" workbookViewId="0"/>
  </sheetViews>
  <sheetFormatPr baseColWidth="10" defaultColWidth="11.42578125" defaultRowHeight="15.75"/>
  <cols>
    <col min="1" max="1" width="7.5703125" style="341" customWidth="1"/>
    <col min="2" max="2" width="27.5703125" style="341" customWidth="1"/>
    <col min="3" max="3" width="35.42578125" style="341" bestFit="1" customWidth="1"/>
    <col min="4" max="4" width="28.42578125" style="341" customWidth="1"/>
    <col min="5" max="5" width="31" style="341" bestFit="1" customWidth="1"/>
    <col min="6" max="6" width="32.42578125" style="341" customWidth="1"/>
    <col min="7" max="7" width="38.28515625" style="341" customWidth="1"/>
    <col min="8" max="8" width="21.140625" style="341" customWidth="1"/>
    <col min="9" max="9" width="47.28515625" style="341" customWidth="1"/>
    <col min="10" max="10" width="40.85546875" style="341" customWidth="1"/>
    <col min="11" max="11" width="41.5703125" style="341" customWidth="1"/>
    <col min="12" max="12" width="42.85546875" style="341" bestFit="1" customWidth="1"/>
    <col min="13" max="16384" width="11.42578125" style="341"/>
  </cols>
  <sheetData>
    <row r="2" spans="1:11" ht="26.25">
      <c r="B2" s="342" t="s">
        <v>292</v>
      </c>
      <c r="D2" s="343"/>
    </row>
    <row r="3" spans="1:11" ht="21">
      <c r="B3" s="344" t="s">
        <v>293</v>
      </c>
      <c r="F3" s="344" t="s">
        <v>294</v>
      </c>
    </row>
    <row r="4" spans="1:11">
      <c r="B4" s="457" t="str">
        <f>BIENVENIDOS!$G$14</f>
        <v>Escribe el nombre de tu receta</v>
      </c>
      <c r="F4" s="456" t="str">
        <f>BIENVENIDOS!G12</f>
        <v>Despliegue la lista y seleccione</v>
      </c>
    </row>
    <row r="5" spans="1:11" ht="16.5" thickBot="1">
      <c r="C5" s="343"/>
      <c r="E5" s="345"/>
    </row>
    <row r="6" spans="1:11" ht="16.5" thickBot="1">
      <c r="C6" s="414" t="s">
        <v>295</v>
      </c>
      <c r="D6" s="415">
        <f>J36</f>
        <v>4</v>
      </c>
      <c r="E6" s="346" t="str">
        <f>IF(F4="0 Desperdicio","Ingrediente obligatorio"," ")</f>
        <v xml:space="preserve"> </v>
      </c>
      <c r="F6" s="345"/>
      <c r="I6" s="525" t="s">
        <v>296</v>
      </c>
      <c r="J6" s="526"/>
      <c r="K6" s="527"/>
    </row>
    <row r="7" spans="1:11" ht="31.5">
      <c r="B7" s="422" t="s">
        <v>297</v>
      </c>
      <c r="C7" s="408" t="s">
        <v>283</v>
      </c>
      <c r="D7" s="422" t="s">
        <v>285</v>
      </c>
      <c r="E7" s="422" t="s">
        <v>298</v>
      </c>
      <c r="F7" s="422" t="s">
        <v>299</v>
      </c>
      <c r="G7" s="422" t="s">
        <v>300</v>
      </c>
      <c r="H7" s="347"/>
      <c r="I7" s="348" t="s">
        <v>301</v>
      </c>
      <c r="J7" s="349" t="s">
        <v>302</v>
      </c>
      <c r="K7" s="350" t="s">
        <v>303</v>
      </c>
    </row>
    <row r="8" spans="1:11">
      <c r="A8" s="341">
        <v>1</v>
      </c>
      <c r="B8" s="459" t="str">
        <f>FORMULARIO!B9</f>
        <v>Despliega la lista y selecciona</v>
      </c>
      <c r="C8" s="409">
        <f>FORMULARIO!C9</f>
        <v>0</v>
      </c>
      <c r="D8" s="410" t="str">
        <f>IFERROR(VLOOKUP(B8,INGREDIENTES!$C$7:$Q$141,3,FALSE)," ")</f>
        <v xml:space="preserve"> </v>
      </c>
      <c r="E8" s="411">
        <f>FORMULARIO!D9</f>
        <v>0</v>
      </c>
      <c r="F8" s="412" t="e">
        <f>VLOOKUP(B8,INGREDIENTES!$C$7:$H$141,5,FALSE)</f>
        <v>#N/A</v>
      </c>
      <c r="G8" s="412" t="e">
        <f>E8*F8</f>
        <v>#N/A</v>
      </c>
      <c r="I8" s="351" t="e">
        <f>VLOOKUP(B8,INGREDIENTES!$C$7:$H$141,2,FALSE)</f>
        <v>#N/A</v>
      </c>
      <c r="J8" s="352" t="str">
        <f t="shared" ref="J8:J29" si="0">IFERROR((E8*1)/I8,"-")</f>
        <v>-</v>
      </c>
      <c r="K8" s="353" t="str">
        <f t="shared" ref="K8:K29" si="1">IFERROR(I8/E8,"-")</f>
        <v>-</v>
      </c>
    </row>
    <row r="9" spans="1:11">
      <c r="A9" s="341">
        <v>2</v>
      </c>
      <c r="B9" s="413" t="str">
        <f>FORMULARIO!B10</f>
        <v>Despliega la lista y selecciona</v>
      </c>
      <c r="C9" s="409">
        <f>FORMULARIO!C10</f>
        <v>0</v>
      </c>
      <c r="D9" s="410" t="str">
        <f>IFERROR(VLOOKUP(B9,INGREDIENTES!$C$7:$Q$141,3,FALSE)," ")</f>
        <v xml:space="preserve"> </v>
      </c>
      <c r="E9" s="411">
        <f>FORMULARIO!D10</f>
        <v>0</v>
      </c>
      <c r="F9" s="412" t="e">
        <f>VLOOKUP(B9,INGREDIENTES!$C$7:$H$141,5,FALSE)</f>
        <v>#N/A</v>
      </c>
      <c r="G9" s="412" t="e">
        <f t="shared" ref="G9" si="2">E9*F9</f>
        <v>#N/A</v>
      </c>
      <c r="I9" s="351" t="e">
        <f>VLOOKUP(B9,INGREDIENTES!$C$7:$H$141,2,FALSE)</f>
        <v>#N/A</v>
      </c>
      <c r="J9" s="352" t="str">
        <f t="shared" si="0"/>
        <v>-</v>
      </c>
      <c r="K9" s="353" t="str">
        <f t="shared" si="1"/>
        <v>-</v>
      </c>
    </row>
    <row r="10" spans="1:11">
      <c r="A10" s="341">
        <v>3</v>
      </c>
      <c r="B10" s="413" t="str">
        <f>FORMULARIO!B11</f>
        <v>Despliega la lista y selecciona</v>
      </c>
      <c r="C10" s="409">
        <f>FORMULARIO!C11</f>
        <v>0</v>
      </c>
      <c r="D10" s="410" t="str">
        <f>IFERROR(VLOOKUP(B10,INGREDIENTES!$C$7:$Q$141,3,FALSE)," ")</f>
        <v xml:space="preserve"> </v>
      </c>
      <c r="E10" s="411">
        <f>FORMULARIO!D11</f>
        <v>0</v>
      </c>
      <c r="F10" s="412" t="e">
        <f>VLOOKUP(B10,INGREDIENTES!$C$7:$H$141,5,FALSE)</f>
        <v>#N/A</v>
      </c>
      <c r="G10" s="412" t="e">
        <f t="shared" ref="G10:G29" si="3">E10*F10</f>
        <v>#N/A</v>
      </c>
      <c r="I10" s="351" t="e">
        <f>VLOOKUP(B10,INGREDIENTES!$C$7:$H$141,2,FALSE)</f>
        <v>#N/A</v>
      </c>
      <c r="J10" s="352" t="str">
        <f t="shared" si="0"/>
        <v>-</v>
      </c>
      <c r="K10" s="353" t="str">
        <f t="shared" si="1"/>
        <v>-</v>
      </c>
    </row>
    <row r="11" spans="1:11">
      <c r="A11" s="341">
        <v>4</v>
      </c>
      <c r="B11" s="413">
        <f>FORMULARIO!B12</f>
        <v>0</v>
      </c>
      <c r="C11" s="409">
        <f>FORMULARIO!C12</f>
        <v>0</v>
      </c>
      <c r="D11" s="410" t="str">
        <f>IFERROR(VLOOKUP(B11,INGREDIENTES!$C$7:$Q$141,3,FALSE)," ")</f>
        <v xml:space="preserve"> </v>
      </c>
      <c r="E11" s="411">
        <f>FORMULARIO!D12</f>
        <v>0</v>
      </c>
      <c r="F11" s="412" t="e">
        <f>VLOOKUP(B11,INGREDIENTES!$C$7:$H$141,5,FALSE)</f>
        <v>#N/A</v>
      </c>
      <c r="G11" s="412" t="e">
        <f t="shared" si="3"/>
        <v>#N/A</v>
      </c>
      <c r="I11" s="351" t="e">
        <f>VLOOKUP(B11,INGREDIENTES!$C$7:$H$141,2,FALSE)</f>
        <v>#N/A</v>
      </c>
      <c r="J11" s="352" t="str">
        <f t="shared" si="0"/>
        <v>-</v>
      </c>
      <c r="K11" s="353" t="str">
        <f t="shared" si="1"/>
        <v>-</v>
      </c>
    </row>
    <row r="12" spans="1:11">
      <c r="A12" s="341">
        <v>5</v>
      </c>
      <c r="B12" s="413">
        <f>FORMULARIO!B13</f>
        <v>0</v>
      </c>
      <c r="C12" s="409">
        <f>FORMULARIO!C13</f>
        <v>0</v>
      </c>
      <c r="D12" s="410" t="str">
        <f>IFERROR(VLOOKUP(B12,INGREDIENTES!$C$7:$Q$141,3,FALSE)," ")</f>
        <v xml:space="preserve"> </v>
      </c>
      <c r="E12" s="411">
        <f>FORMULARIO!D13</f>
        <v>0</v>
      </c>
      <c r="F12" s="412" t="e">
        <f>VLOOKUP(B12,INGREDIENTES!$C$7:$H$141,5,FALSE)</f>
        <v>#N/A</v>
      </c>
      <c r="G12" s="412" t="e">
        <f t="shared" si="3"/>
        <v>#N/A</v>
      </c>
      <c r="I12" s="351" t="e">
        <f>VLOOKUP(B12,INGREDIENTES!$C$7:$H$141,2,FALSE)</f>
        <v>#N/A</v>
      </c>
      <c r="J12" s="352" t="str">
        <f t="shared" si="0"/>
        <v>-</v>
      </c>
      <c r="K12" s="353" t="str">
        <f t="shared" si="1"/>
        <v>-</v>
      </c>
    </row>
    <row r="13" spans="1:11">
      <c r="A13" s="341">
        <v>6</v>
      </c>
      <c r="B13" s="413">
        <f>FORMULARIO!B14</f>
        <v>0</v>
      </c>
      <c r="C13" s="409">
        <f>FORMULARIO!C14</f>
        <v>0</v>
      </c>
      <c r="D13" s="410" t="str">
        <f>IFERROR(VLOOKUP(B13,INGREDIENTES!$C$7:$Q$141,3,FALSE)," ")</f>
        <v xml:space="preserve"> </v>
      </c>
      <c r="E13" s="411">
        <f>FORMULARIO!D14</f>
        <v>0</v>
      </c>
      <c r="F13" s="412" t="e">
        <f>VLOOKUP(B13,INGREDIENTES!$C$7:$H$141,5,FALSE)</f>
        <v>#N/A</v>
      </c>
      <c r="G13" s="412" t="e">
        <f t="shared" si="3"/>
        <v>#N/A</v>
      </c>
      <c r="I13" s="351" t="e">
        <f>VLOOKUP(B13,INGREDIENTES!$C$7:$H$141,2,FALSE)</f>
        <v>#N/A</v>
      </c>
      <c r="J13" s="352" t="str">
        <f t="shared" si="0"/>
        <v>-</v>
      </c>
      <c r="K13" s="353" t="str">
        <f t="shared" si="1"/>
        <v>-</v>
      </c>
    </row>
    <row r="14" spans="1:11">
      <c r="A14" s="341">
        <v>7</v>
      </c>
      <c r="B14" s="413">
        <f>FORMULARIO!B15</f>
        <v>0</v>
      </c>
      <c r="C14" s="409">
        <f>FORMULARIO!C15</f>
        <v>0</v>
      </c>
      <c r="D14" s="410" t="str">
        <f>IFERROR(VLOOKUP(B14,INGREDIENTES!$C$7:$Q$141,3,FALSE)," ")</f>
        <v xml:space="preserve"> </v>
      </c>
      <c r="E14" s="411">
        <f>FORMULARIO!D15</f>
        <v>0</v>
      </c>
      <c r="F14" s="412" t="e">
        <f>VLOOKUP(B14,INGREDIENTES!$C$7:$H$141,5,FALSE)</f>
        <v>#N/A</v>
      </c>
      <c r="G14" s="412" t="e">
        <f t="shared" si="3"/>
        <v>#N/A</v>
      </c>
      <c r="I14" s="351" t="e">
        <f>VLOOKUP(B14,INGREDIENTES!$C$7:$H$141,2,FALSE)</f>
        <v>#N/A</v>
      </c>
      <c r="J14" s="352" t="str">
        <f t="shared" si="0"/>
        <v>-</v>
      </c>
      <c r="K14" s="353" t="str">
        <f t="shared" si="1"/>
        <v>-</v>
      </c>
    </row>
    <row r="15" spans="1:11">
      <c r="A15" s="341">
        <v>8</v>
      </c>
      <c r="B15" s="413">
        <f>FORMULARIO!B16</f>
        <v>0</v>
      </c>
      <c r="C15" s="409">
        <f>FORMULARIO!C16</f>
        <v>0</v>
      </c>
      <c r="D15" s="410" t="str">
        <f>IFERROR(VLOOKUP(B15,INGREDIENTES!$C$7:$Q$141,3,FALSE)," ")</f>
        <v xml:space="preserve"> </v>
      </c>
      <c r="E15" s="411">
        <f>FORMULARIO!D16</f>
        <v>0</v>
      </c>
      <c r="F15" s="412" t="e">
        <f>VLOOKUP(B15,INGREDIENTES!$C$7:$H$141,5,FALSE)</f>
        <v>#N/A</v>
      </c>
      <c r="G15" s="412" t="e">
        <f t="shared" si="3"/>
        <v>#N/A</v>
      </c>
      <c r="I15" s="351" t="e">
        <f>VLOOKUP(B15,INGREDIENTES!$C$7:$H$141,2,FALSE)</f>
        <v>#N/A</v>
      </c>
      <c r="J15" s="352" t="str">
        <f t="shared" si="0"/>
        <v>-</v>
      </c>
      <c r="K15" s="353" t="str">
        <f t="shared" si="1"/>
        <v>-</v>
      </c>
    </row>
    <row r="16" spans="1:11">
      <c r="A16" s="341">
        <v>9</v>
      </c>
      <c r="B16" s="413">
        <f>FORMULARIO!B17</f>
        <v>0</v>
      </c>
      <c r="C16" s="409">
        <f>FORMULARIO!C17</f>
        <v>0</v>
      </c>
      <c r="D16" s="410" t="str">
        <f>IFERROR(VLOOKUP(B16,INGREDIENTES!$C$7:$Q$141,3,FALSE)," ")</f>
        <v xml:space="preserve"> </v>
      </c>
      <c r="E16" s="411">
        <f>FORMULARIO!D17</f>
        <v>0</v>
      </c>
      <c r="F16" s="412" t="e">
        <f>VLOOKUP(B16,INGREDIENTES!$C$7:$H$141,5,FALSE)</f>
        <v>#N/A</v>
      </c>
      <c r="G16" s="412" t="e">
        <f t="shared" si="3"/>
        <v>#N/A</v>
      </c>
      <c r="I16" s="351" t="e">
        <f>VLOOKUP(B16,INGREDIENTES!$C$7:$H$141,2,FALSE)</f>
        <v>#N/A</v>
      </c>
      <c r="J16" s="352" t="str">
        <f t="shared" si="0"/>
        <v>-</v>
      </c>
      <c r="K16" s="353" t="str">
        <f t="shared" si="1"/>
        <v>-</v>
      </c>
    </row>
    <row r="17" spans="1:11">
      <c r="A17" s="341">
        <v>10</v>
      </c>
      <c r="B17" s="413">
        <f>FORMULARIO!B18</f>
        <v>0</v>
      </c>
      <c r="C17" s="409">
        <f>FORMULARIO!C18</f>
        <v>0</v>
      </c>
      <c r="D17" s="410" t="str">
        <f>IFERROR(VLOOKUP(B17,INGREDIENTES!$C$7:$Q$141,3,FALSE)," ")</f>
        <v xml:space="preserve"> </v>
      </c>
      <c r="E17" s="411">
        <f>FORMULARIO!D18</f>
        <v>0</v>
      </c>
      <c r="F17" s="412" t="e">
        <f>VLOOKUP(B17,INGREDIENTES!$C$7:$H$141,5,FALSE)</f>
        <v>#N/A</v>
      </c>
      <c r="G17" s="412" t="e">
        <f t="shared" si="3"/>
        <v>#N/A</v>
      </c>
      <c r="I17" s="351" t="e">
        <f>VLOOKUP(B17,INGREDIENTES!$C$7:$H$141,2,FALSE)</f>
        <v>#N/A</v>
      </c>
      <c r="J17" s="352" t="str">
        <f t="shared" si="0"/>
        <v>-</v>
      </c>
      <c r="K17" s="353" t="str">
        <f t="shared" si="1"/>
        <v>-</v>
      </c>
    </row>
    <row r="18" spans="1:11">
      <c r="A18" s="341">
        <v>11</v>
      </c>
      <c r="B18" s="413">
        <f>FORMULARIO!B19</f>
        <v>0</v>
      </c>
      <c r="C18" s="409">
        <f>FORMULARIO!C19</f>
        <v>0</v>
      </c>
      <c r="D18" s="410" t="str">
        <f>IFERROR(VLOOKUP(B18,INGREDIENTES!$C$7:$Q$141,3,FALSE)," ")</f>
        <v xml:space="preserve"> </v>
      </c>
      <c r="E18" s="411">
        <f>FORMULARIO!D19</f>
        <v>0</v>
      </c>
      <c r="F18" s="412" t="e">
        <f>VLOOKUP(B18,INGREDIENTES!$C$7:$H$141,5,FALSE)</f>
        <v>#N/A</v>
      </c>
      <c r="G18" s="412" t="e">
        <f t="shared" si="3"/>
        <v>#N/A</v>
      </c>
      <c r="I18" s="351" t="e">
        <f>VLOOKUP(B18,INGREDIENTES!$C$7:$H$141,2,FALSE)</f>
        <v>#N/A</v>
      </c>
      <c r="J18" s="352" t="str">
        <f t="shared" si="0"/>
        <v>-</v>
      </c>
      <c r="K18" s="353" t="str">
        <f t="shared" si="1"/>
        <v>-</v>
      </c>
    </row>
    <row r="19" spans="1:11">
      <c r="A19" s="341">
        <v>12</v>
      </c>
      <c r="B19" s="413">
        <f>FORMULARIO!B20</f>
        <v>0</v>
      </c>
      <c r="C19" s="409">
        <f>FORMULARIO!C20</f>
        <v>0</v>
      </c>
      <c r="D19" s="410" t="str">
        <f>IFERROR(VLOOKUP(B19,INGREDIENTES!$C$7:$Q$141,3,FALSE)," ")</f>
        <v xml:space="preserve"> </v>
      </c>
      <c r="E19" s="411">
        <f>FORMULARIO!D20</f>
        <v>0</v>
      </c>
      <c r="F19" s="412" t="e">
        <f>VLOOKUP(B19,INGREDIENTES!$C$7:$H$141,5,FALSE)</f>
        <v>#N/A</v>
      </c>
      <c r="G19" s="412" t="e">
        <f t="shared" si="3"/>
        <v>#N/A</v>
      </c>
      <c r="I19" s="351" t="e">
        <f>VLOOKUP(B19,INGREDIENTES!$C$7:$H$141,2,FALSE)</f>
        <v>#N/A</v>
      </c>
      <c r="J19" s="352" t="str">
        <f t="shared" si="0"/>
        <v>-</v>
      </c>
      <c r="K19" s="353" t="str">
        <f t="shared" si="1"/>
        <v>-</v>
      </c>
    </row>
    <row r="20" spans="1:11">
      <c r="A20" s="341">
        <v>13</v>
      </c>
      <c r="B20" s="413">
        <f>FORMULARIO!B21</f>
        <v>0</v>
      </c>
      <c r="C20" s="409">
        <f>FORMULARIO!C21</f>
        <v>0</v>
      </c>
      <c r="D20" s="410" t="str">
        <f>IFERROR(VLOOKUP(B20,INGREDIENTES!$C$7:$Q$141,3,FALSE)," ")</f>
        <v xml:space="preserve"> </v>
      </c>
      <c r="E20" s="411">
        <f>FORMULARIO!D21</f>
        <v>0</v>
      </c>
      <c r="F20" s="412" t="e">
        <f>VLOOKUP(B20,INGREDIENTES!$C$7:$H$141,5,FALSE)</f>
        <v>#N/A</v>
      </c>
      <c r="G20" s="412" t="e">
        <f t="shared" si="3"/>
        <v>#N/A</v>
      </c>
      <c r="I20" s="351" t="e">
        <f>VLOOKUP(B20,INGREDIENTES!$C$7:$H$141,2,FALSE)</f>
        <v>#N/A</v>
      </c>
      <c r="J20" s="352" t="str">
        <f t="shared" si="0"/>
        <v>-</v>
      </c>
      <c r="K20" s="353" t="str">
        <f t="shared" si="1"/>
        <v>-</v>
      </c>
    </row>
    <row r="21" spans="1:11">
      <c r="A21" s="341">
        <v>14</v>
      </c>
      <c r="B21" s="413">
        <f>FORMULARIO!B22</f>
        <v>0</v>
      </c>
      <c r="C21" s="409">
        <f>FORMULARIO!C22</f>
        <v>0</v>
      </c>
      <c r="D21" s="410" t="str">
        <f>IFERROR(VLOOKUP(B21,INGREDIENTES!$C$7:$Q$141,3,FALSE)," ")</f>
        <v xml:space="preserve"> </v>
      </c>
      <c r="E21" s="411">
        <f>FORMULARIO!D22</f>
        <v>0</v>
      </c>
      <c r="F21" s="412" t="e">
        <f>VLOOKUP(B21,INGREDIENTES!$C$7:$H$141,5,FALSE)</f>
        <v>#N/A</v>
      </c>
      <c r="G21" s="412" t="e">
        <f t="shared" si="3"/>
        <v>#N/A</v>
      </c>
      <c r="I21" s="351" t="e">
        <f>VLOOKUP(B21,INGREDIENTES!$C$7:$H$141,2,FALSE)</f>
        <v>#N/A</v>
      </c>
      <c r="J21" s="352" t="str">
        <f t="shared" si="0"/>
        <v>-</v>
      </c>
      <c r="K21" s="353" t="str">
        <f t="shared" si="1"/>
        <v>-</v>
      </c>
    </row>
    <row r="22" spans="1:11">
      <c r="A22" s="341">
        <v>15</v>
      </c>
      <c r="B22" s="413">
        <f>FORMULARIO!B23</f>
        <v>0</v>
      </c>
      <c r="C22" s="409">
        <f>FORMULARIO!C23</f>
        <v>0</v>
      </c>
      <c r="D22" s="410" t="str">
        <f>IFERROR(VLOOKUP(B22,INGREDIENTES!$C$7:$Q$141,3,FALSE)," ")</f>
        <v xml:space="preserve"> </v>
      </c>
      <c r="E22" s="411">
        <f>FORMULARIO!D20</f>
        <v>0</v>
      </c>
      <c r="F22" s="412" t="e">
        <f>VLOOKUP(B22,INGREDIENTES!$C$7:$H$141,5,FALSE)</f>
        <v>#N/A</v>
      </c>
      <c r="G22" s="412" t="e">
        <f t="shared" ref="G22:G28" si="4">E22*F22</f>
        <v>#N/A</v>
      </c>
      <c r="I22" s="351" t="e">
        <f>VLOOKUP(B22,INGREDIENTES!$C$7:$H$141,2,FALSE)</f>
        <v>#N/A</v>
      </c>
      <c r="J22" s="352" t="str">
        <f t="shared" si="0"/>
        <v>-</v>
      </c>
      <c r="K22" s="353" t="str">
        <f t="shared" si="1"/>
        <v>-</v>
      </c>
    </row>
    <row r="23" spans="1:11">
      <c r="A23" s="341">
        <v>16</v>
      </c>
      <c r="B23" s="413">
        <f>FORMULARIO!B24</f>
        <v>0</v>
      </c>
      <c r="C23" s="409">
        <f>FORMULARIO!C24</f>
        <v>0</v>
      </c>
      <c r="D23" s="410" t="str">
        <f>IFERROR(VLOOKUP(B23,INGREDIENTES!$C$7:$Q$141,3,FALSE)," ")</f>
        <v xml:space="preserve"> </v>
      </c>
      <c r="E23" s="411">
        <f>FORMULARIO!D21</f>
        <v>0</v>
      </c>
      <c r="F23" s="412" t="e">
        <f>VLOOKUP(B23,INGREDIENTES!$C$7:$H$141,5,FALSE)</f>
        <v>#N/A</v>
      </c>
      <c r="G23" s="412" t="e">
        <f t="shared" si="4"/>
        <v>#N/A</v>
      </c>
      <c r="I23" s="351" t="e">
        <f>VLOOKUP(B23,INGREDIENTES!$C$7:$H$141,2,FALSE)</f>
        <v>#N/A</v>
      </c>
      <c r="J23" s="352" t="str">
        <f t="shared" si="0"/>
        <v>-</v>
      </c>
      <c r="K23" s="353" t="str">
        <f t="shared" si="1"/>
        <v>-</v>
      </c>
    </row>
    <row r="24" spans="1:11">
      <c r="A24" s="341">
        <v>17</v>
      </c>
      <c r="B24" s="413">
        <f>FORMULARIO!B25</f>
        <v>0</v>
      </c>
      <c r="C24" s="409">
        <f>FORMULARIO!C25</f>
        <v>0</v>
      </c>
      <c r="D24" s="410" t="str">
        <f>IFERROR(VLOOKUP(B24,INGREDIENTES!$C$7:$Q$141,3,FALSE)," ")</f>
        <v xml:space="preserve"> </v>
      </c>
      <c r="E24" s="411">
        <f>FORMULARIO!D22</f>
        <v>0</v>
      </c>
      <c r="F24" s="412" t="e">
        <f>VLOOKUP(B24,INGREDIENTES!$C$7:$H$141,5,FALSE)</f>
        <v>#N/A</v>
      </c>
      <c r="G24" s="412" t="e">
        <f t="shared" si="4"/>
        <v>#N/A</v>
      </c>
      <c r="I24" s="351" t="e">
        <f>VLOOKUP(B24,INGREDIENTES!$C$7:$H$141,2,FALSE)</f>
        <v>#N/A</v>
      </c>
      <c r="J24" s="352" t="str">
        <f t="shared" si="0"/>
        <v>-</v>
      </c>
      <c r="K24" s="353" t="str">
        <f t="shared" si="1"/>
        <v>-</v>
      </c>
    </row>
    <row r="25" spans="1:11">
      <c r="A25" s="341">
        <v>18</v>
      </c>
      <c r="B25" s="413">
        <f>FORMULARIO!B26</f>
        <v>0</v>
      </c>
      <c r="C25" s="409">
        <f>FORMULARIO!C26</f>
        <v>0</v>
      </c>
      <c r="D25" s="410" t="str">
        <f>IFERROR(VLOOKUP(B25,INGREDIENTES!$C$7:$Q$141,3,FALSE)," ")</f>
        <v xml:space="preserve"> </v>
      </c>
      <c r="E25" s="411">
        <f>FORMULARIO!D23</f>
        <v>0</v>
      </c>
      <c r="F25" s="412" t="e">
        <f>VLOOKUP(B25,INGREDIENTES!$C$7:$H$141,5,FALSE)</f>
        <v>#N/A</v>
      </c>
      <c r="G25" s="412" t="e">
        <f t="shared" si="4"/>
        <v>#N/A</v>
      </c>
      <c r="I25" s="351" t="e">
        <f>VLOOKUP(B25,INGREDIENTES!$C$7:$H$141,2,FALSE)</f>
        <v>#N/A</v>
      </c>
      <c r="J25" s="352" t="str">
        <f t="shared" si="0"/>
        <v>-</v>
      </c>
      <c r="K25" s="353" t="str">
        <f t="shared" si="1"/>
        <v>-</v>
      </c>
    </row>
    <row r="26" spans="1:11">
      <c r="A26" s="341">
        <v>19</v>
      </c>
      <c r="B26" s="413">
        <f>FORMULARIO!B27</f>
        <v>0</v>
      </c>
      <c r="C26" s="409">
        <f>FORMULARIO!C27</f>
        <v>0</v>
      </c>
      <c r="D26" s="410" t="str">
        <f>IFERROR(VLOOKUP(B26,INGREDIENTES!$C$7:$Q$141,3,FALSE)," ")</f>
        <v xml:space="preserve"> </v>
      </c>
      <c r="E26" s="411">
        <f>FORMULARIO!D24</f>
        <v>0</v>
      </c>
      <c r="F26" s="412" t="e">
        <f>VLOOKUP(B26,INGREDIENTES!$C$7:$H$141,5,FALSE)</f>
        <v>#N/A</v>
      </c>
      <c r="G26" s="412" t="e">
        <f t="shared" si="4"/>
        <v>#N/A</v>
      </c>
      <c r="I26" s="351" t="e">
        <f>VLOOKUP(B26,INGREDIENTES!$C$7:$H$141,2,FALSE)</f>
        <v>#N/A</v>
      </c>
      <c r="J26" s="352" t="str">
        <f t="shared" si="0"/>
        <v>-</v>
      </c>
      <c r="K26" s="353" t="str">
        <f t="shared" si="1"/>
        <v>-</v>
      </c>
    </row>
    <row r="27" spans="1:11">
      <c r="A27" s="341">
        <v>20</v>
      </c>
      <c r="B27" s="413">
        <f>FORMULARIO!B28</f>
        <v>0</v>
      </c>
      <c r="C27" s="409">
        <f>FORMULARIO!C32</f>
        <v>0</v>
      </c>
      <c r="D27" s="410" t="str">
        <f>IFERROR(VLOOKUP(B27,INGREDIENTES!$C$7:$Q$141,3,FALSE)," ")</f>
        <v xml:space="preserve"> </v>
      </c>
      <c r="E27" s="411">
        <f>FORMULARIO!D25</f>
        <v>0</v>
      </c>
      <c r="F27" s="412" t="e">
        <f>VLOOKUP(B27,INGREDIENTES!$C$7:$H$141,5,FALSE)</f>
        <v>#N/A</v>
      </c>
      <c r="G27" s="412" t="e">
        <f t="shared" si="4"/>
        <v>#N/A</v>
      </c>
      <c r="I27" s="351" t="e">
        <f>VLOOKUP(B27,INGREDIENTES!$C$7:$H$141,2,FALSE)</f>
        <v>#N/A</v>
      </c>
      <c r="J27" s="352" t="str">
        <f t="shared" si="0"/>
        <v>-</v>
      </c>
      <c r="K27" s="353" t="str">
        <f t="shared" si="1"/>
        <v>-</v>
      </c>
    </row>
    <row r="28" spans="1:11">
      <c r="A28" s="341">
        <v>21</v>
      </c>
      <c r="B28" s="413">
        <f>FORMULARIO!B29</f>
        <v>0</v>
      </c>
      <c r="C28" s="409">
        <f>FORMULARIO!C33</f>
        <v>0</v>
      </c>
      <c r="D28" s="410" t="str">
        <f>IFERROR(VLOOKUP(B28,INGREDIENTES!$C$7:$Q$141,3,FALSE)," ")</f>
        <v xml:space="preserve"> </v>
      </c>
      <c r="E28" s="411">
        <f>FORMULARIO!D26</f>
        <v>0</v>
      </c>
      <c r="F28" s="412" t="e">
        <f>VLOOKUP(B28,INGREDIENTES!$C$7:$H$141,5,FALSE)</f>
        <v>#N/A</v>
      </c>
      <c r="G28" s="412" t="e">
        <f t="shared" si="4"/>
        <v>#N/A</v>
      </c>
      <c r="I28" s="351" t="e">
        <f>VLOOKUP(B28,INGREDIENTES!$C$7:$H$141,2,FALSE)</f>
        <v>#N/A</v>
      </c>
      <c r="J28" s="352" t="str">
        <f t="shared" si="0"/>
        <v>-</v>
      </c>
      <c r="K28" s="353" t="str">
        <f t="shared" si="1"/>
        <v>-</v>
      </c>
    </row>
    <row r="29" spans="1:11">
      <c r="A29" s="341">
        <v>22</v>
      </c>
      <c r="B29" s="413">
        <f>FORMULARIO!B31</f>
        <v>0</v>
      </c>
      <c r="C29" s="409">
        <f>FORMULARIO!C34</f>
        <v>0</v>
      </c>
      <c r="D29" s="410" t="str">
        <f>IFERROR(VLOOKUP(B29,INGREDIENTES!$C$7:$Q$141,3,FALSE)," ")</f>
        <v xml:space="preserve"> </v>
      </c>
      <c r="E29" s="411">
        <f>FORMULARIO!D27</f>
        <v>0</v>
      </c>
      <c r="F29" s="412" t="e">
        <f>VLOOKUP(B29,INGREDIENTES!$C$7:$H$141,5,FALSE)</f>
        <v>#N/A</v>
      </c>
      <c r="G29" s="412" t="e">
        <f t="shared" si="3"/>
        <v>#N/A</v>
      </c>
      <c r="I29" s="351" t="e">
        <f>VLOOKUP(B29,INGREDIENTES!$C$7:$H$141,2,FALSE)</f>
        <v>#N/A</v>
      </c>
      <c r="J29" s="352" t="str">
        <f t="shared" si="0"/>
        <v>-</v>
      </c>
      <c r="K29" s="353" t="str">
        <f t="shared" si="1"/>
        <v>-</v>
      </c>
    </row>
    <row r="30" spans="1:11" ht="16.5" thickBot="1">
      <c r="C30" s="354"/>
      <c r="D30" s="354"/>
      <c r="E30" s="354"/>
      <c r="F30" s="354"/>
      <c r="G30" s="354"/>
      <c r="H30" s="354"/>
      <c r="I30" s="354"/>
    </row>
    <row r="31" spans="1:11" ht="16.5" thickBot="1">
      <c r="B31" s="355"/>
      <c r="C31" s="356"/>
      <c r="D31" s="399" t="s">
        <v>304</v>
      </c>
      <c r="E31" s="398">
        <f>SUM(E8:E29)</f>
        <v>0</v>
      </c>
      <c r="F31" s="357" t="str">
        <f>I38</f>
        <v>COSTO PRODUCCIÓN RECETA</v>
      </c>
      <c r="G31" s="358">
        <f>SUMIF(G8:G29,"&gt;0")</f>
        <v>0</v>
      </c>
    </row>
    <row r="32" spans="1:11" ht="16.5" thickBot="1">
      <c r="B32" s="355"/>
      <c r="C32" s="355"/>
      <c r="D32" s="355"/>
      <c r="E32" s="355"/>
      <c r="F32" s="359" t="s">
        <v>305</v>
      </c>
      <c r="G32" s="360" t="str">
        <f>IF(F4="Desayuno", "$9.000", IF(F4= "Snack", "$8.000", IF(F4= "Plato fuerte", "$10.000", "$8.000")))</f>
        <v>$8.000</v>
      </c>
    </row>
    <row r="33" spans="1:15" ht="16.5" thickBot="1">
      <c r="B33" s="355"/>
      <c r="E33" s="355"/>
      <c r="G33" s="355"/>
      <c r="H33" s="361"/>
    </row>
    <row r="34" spans="1:15" ht="16.5" thickBot="1">
      <c r="C34" s="355"/>
      <c r="E34" s="535" t="s">
        <v>306</v>
      </c>
      <c r="F34" s="536"/>
      <c r="G34" s="537"/>
      <c r="I34" s="528" t="s">
        <v>307</v>
      </c>
      <c r="J34" s="529"/>
    </row>
    <row r="35" spans="1:15" ht="16.5" thickBot="1">
      <c r="C35" s="362"/>
      <c r="D35" s="363"/>
      <c r="E35" s="364" t="s">
        <v>308</v>
      </c>
      <c r="F35" s="365" t="s">
        <v>309</v>
      </c>
      <c r="G35" s="366" t="s">
        <v>310</v>
      </c>
      <c r="I35" s="367" t="s">
        <v>311</v>
      </c>
      <c r="J35" s="368">
        <f>E31</f>
        <v>0</v>
      </c>
    </row>
    <row r="36" spans="1:15">
      <c r="C36" s="530" t="s">
        <v>312</v>
      </c>
      <c r="D36" s="369" t="s">
        <v>275</v>
      </c>
      <c r="E36" s="369" t="s">
        <v>313</v>
      </c>
      <c r="F36" s="370" t="str">
        <f>'APORTE NUTRICIONAL'!O43</f>
        <v xml:space="preserve"> </v>
      </c>
      <c r="G36" s="371" t="s">
        <v>314</v>
      </c>
      <c r="I36" s="372" t="s">
        <v>315</v>
      </c>
      <c r="J36" s="373">
        <v>4</v>
      </c>
      <c r="M36" s="538"/>
      <c r="N36" s="523"/>
      <c r="O36" s="374"/>
    </row>
    <row r="37" spans="1:15">
      <c r="C37" s="531"/>
      <c r="D37" s="375" t="s">
        <v>316</v>
      </c>
      <c r="E37" s="376" t="s">
        <v>317</v>
      </c>
      <c r="F37" s="377" t="str">
        <f>'APORTE NUTRICIONAL'!O41</f>
        <v xml:space="preserve"> </v>
      </c>
      <c r="G37" s="378" t="s">
        <v>314</v>
      </c>
      <c r="I37" s="372" t="s">
        <v>318</v>
      </c>
      <c r="J37" s="379">
        <f>E31/J36</f>
        <v>0</v>
      </c>
      <c r="M37" s="538"/>
      <c r="N37" s="524"/>
      <c r="O37" s="374"/>
    </row>
    <row r="38" spans="1:15">
      <c r="A38" s="347"/>
      <c r="C38" s="532"/>
      <c r="D38" s="376" t="s">
        <v>23</v>
      </c>
      <c r="E38" s="380" t="s">
        <v>319</v>
      </c>
      <c r="F38" s="381" t="str">
        <f>'APORTE NUTRICIONAL'!O42</f>
        <v xml:space="preserve"> </v>
      </c>
      <c r="G38" s="378" t="s">
        <v>314</v>
      </c>
      <c r="I38" s="372" t="s">
        <v>320</v>
      </c>
      <c r="J38" s="382">
        <f>G31</f>
        <v>0</v>
      </c>
      <c r="M38" s="538"/>
      <c r="N38" s="524"/>
      <c r="O38" s="374"/>
    </row>
    <row r="39" spans="1:15" ht="32.25" thickBot="1">
      <c r="A39" s="347"/>
      <c r="C39" s="533" t="s">
        <v>321</v>
      </c>
      <c r="D39" s="380" t="s">
        <v>322</v>
      </c>
      <c r="E39" s="383" t="s">
        <v>323</v>
      </c>
      <c r="F39" s="384">
        <f>'APORTE NUTRICIONAL'!T33</f>
        <v>0</v>
      </c>
      <c r="G39" s="378" t="s">
        <v>324</v>
      </c>
      <c r="I39" s="385" t="s">
        <v>325</v>
      </c>
      <c r="J39" s="386">
        <f>J38/J36</f>
        <v>0</v>
      </c>
      <c r="M39" s="538"/>
      <c r="N39" s="524"/>
      <c r="O39" s="374"/>
    </row>
    <row r="40" spans="1:15" ht="32.25" thickBot="1">
      <c r="A40" s="347"/>
      <c r="C40" s="534"/>
      <c r="D40" s="387" t="s">
        <v>277</v>
      </c>
      <c r="E40" s="388" t="s">
        <v>326</v>
      </c>
      <c r="F40" s="389">
        <f>'APORTE NUTRICIONAL'!W33</f>
        <v>0</v>
      </c>
      <c r="G40" s="390" t="s">
        <v>327</v>
      </c>
      <c r="K40" s="347"/>
      <c r="M40" s="538"/>
      <c r="N40" s="524"/>
      <c r="O40" s="374"/>
    </row>
    <row r="41" spans="1:15">
      <c r="A41" s="347"/>
      <c r="K41" s="427"/>
      <c r="L41" s="425"/>
      <c r="M41" s="538"/>
      <c r="N41" s="524"/>
      <c r="O41" s="374"/>
    </row>
    <row r="42" spans="1:15" ht="16.5" thickBot="1">
      <c r="A42" s="347"/>
      <c r="K42" s="427"/>
      <c r="L42" s="425"/>
      <c r="M42" s="538"/>
      <c r="N42" s="524"/>
      <c r="O42" s="374"/>
    </row>
    <row r="43" spans="1:15" ht="16.5" thickBot="1">
      <c r="A43" s="347"/>
      <c r="D43" s="426" t="s">
        <v>328</v>
      </c>
      <c r="E43" s="391" t="s">
        <v>329</v>
      </c>
      <c r="F43" s="392" t="s">
        <v>309</v>
      </c>
    </row>
    <row r="44" spans="1:15" ht="32.25" thickBot="1">
      <c r="A44" s="347"/>
      <c r="C44" s="393" t="s">
        <v>330</v>
      </c>
      <c r="D44" s="394">
        <f>'APORTE NUTRICIONAL'!R35</f>
        <v>0</v>
      </c>
      <c r="E44" s="395">
        <f>'APORTE NUTRICIONAL'!R36</f>
        <v>600</v>
      </c>
      <c r="F44" s="396">
        <f>'APORTE NUTRICIONAL'!R37</f>
        <v>0</v>
      </c>
    </row>
    <row r="45" spans="1:15">
      <c r="A45" s="347"/>
      <c r="B45" s="347"/>
      <c r="H45" s="397"/>
    </row>
    <row r="46" spans="1:15">
      <c r="A46" s="347"/>
      <c r="B46" s="347"/>
      <c r="C46" s="347"/>
      <c r="H46" s="397"/>
    </row>
  </sheetData>
  <sheetProtection insertRows="0" deleteRows="0"/>
  <mergeCells count="7">
    <mergeCell ref="N36:N42"/>
    <mergeCell ref="I6:K6"/>
    <mergeCell ref="I34:J34"/>
    <mergeCell ref="C36:C38"/>
    <mergeCell ref="C39:C40"/>
    <mergeCell ref="E34:G34"/>
    <mergeCell ref="M36:M42"/>
  </mergeCells>
  <conditionalFormatting sqref="E6">
    <cfRule type="containsText" dxfId="1" priority="2" operator="containsText" text="Ingrediente obligatorio">
      <formula>NOT(ISERROR(SEARCH("Ingrediente obligatorio",E6)))</formula>
    </cfRule>
  </conditionalFormatting>
  <conditionalFormatting sqref="F6">
    <cfRule type="expression" dxfId="0" priority="1">
      <formula>$E$6="Ingrediente obligatorio"</formula>
    </cfRule>
  </conditionalFormatting>
  <pageMargins left="0.7" right="0.7" top="0.75" bottom="0.75" header="0.3" footer="0.3"/>
  <pageSetup orientation="portrait" r:id="rId1"/>
  <ignoredErrors>
    <ignoredError sqref="E6" unlockedFormula="1"/>
  </ignoredError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X55"/>
  <sheetViews>
    <sheetView showGridLines="0" zoomScale="70" zoomScaleNormal="70" workbookViewId="0"/>
  </sheetViews>
  <sheetFormatPr baseColWidth="10" defaultColWidth="8.7109375" defaultRowHeight="15"/>
  <cols>
    <col min="1" max="1" width="9.140625" style="243"/>
    <col min="2" max="2" width="37.28515625" style="243" customWidth="1"/>
    <col min="3" max="3" width="33.28515625" style="243" customWidth="1"/>
    <col min="4" max="4" width="25.85546875" style="243" bestFit="1" customWidth="1"/>
    <col min="5" max="5" width="13.5703125" style="243" customWidth="1"/>
    <col min="6" max="6" width="9.140625" style="243"/>
    <col min="7" max="7" width="10.28515625" style="243" bestFit="1" customWidth="1"/>
    <col min="8" max="8" width="10.42578125" style="243" customWidth="1"/>
    <col min="9" max="12" width="9.140625" style="243"/>
    <col min="13" max="13" width="11.42578125" style="243" customWidth="1"/>
    <col min="14" max="14" width="11.140625" style="243" customWidth="1"/>
    <col min="15" max="15" width="11.140625" style="243" bestFit="1" customWidth="1"/>
    <col min="16" max="16" width="11.7109375" style="243" customWidth="1"/>
    <col min="17" max="17" width="16.5703125" style="243" customWidth="1"/>
    <col min="18" max="18" width="11" style="243" customWidth="1"/>
    <col min="19" max="19" width="9.140625" style="243"/>
    <col min="20" max="20" width="11.140625" style="243" customWidth="1"/>
    <col min="21" max="21" width="17.28515625" style="243" customWidth="1"/>
    <col min="22" max="22" width="9.85546875" style="243" bestFit="1" customWidth="1"/>
    <col min="23" max="23" width="20.140625" style="243" bestFit="1" customWidth="1"/>
    <col min="24" max="24" width="3.7109375" style="243" customWidth="1"/>
    <col min="25" max="16384" width="8.7109375" style="244"/>
  </cols>
  <sheetData>
    <row r="1" spans="2:24">
      <c r="B1" s="243" t="s">
        <v>331</v>
      </c>
    </row>
    <row r="2" spans="2:24" ht="15.75">
      <c r="B2" s="569" t="s">
        <v>306</v>
      </c>
      <c r="C2" s="569"/>
      <c r="D2" s="569"/>
      <c r="E2" s="569"/>
      <c r="F2" s="569"/>
      <c r="G2" s="569"/>
      <c r="H2" s="569"/>
      <c r="I2" s="569"/>
      <c r="J2" s="569"/>
      <c r="K2" s="569"/>
      <c r="L2" s="569"/>
      <c r="M2" s="569"/>
      <c r="N2" s="569"/>
      <c r="O2" s="569"/>
      <c r="P2" s="569"/>
      <c r="Q2" s="569"/>
      <c r="R2" s="569"/>
      <c r="S2" s="569"/>
      <c r="T2" s="569"/>
      <c r="U2" s="569"/>
      <c r="V2" s="569"/>
      <c r="W2" s="569"/>
      <c r="X2" s="245"/>
    </row>
    <row r="3" spans="2:24" ht="15.75">
      <c r="B3" s="569" t="s">
        <v>332</v>
      </c>
      <c r="C3" s="570" t="s">
        <v>333</v>
      </c>
      <c r="D3" s="570"/>
      <c r="E3" s="570"/>
      <c r="F3" s="569" t="s">
        <v>312</v>
      </c>
      <c r="G3" s="569"/>
      <c r="H3" s="569"/>
      <c r="I3" s="569"/>
      <c r="J3" s="569"/>
      <c r="K3" s="569"/>
      <c r="L3" s="569"/>
      <c r="M3" s="569"/>
      <c r="N3" s="569"/>
      <c r="O3" s="569"/>
      <c r="P3" s="569"/>
      <c r="Q3" s="569"/>
      <c r="R3" s="569"/>
      <c r="S3" s="569" t="s">
        <v>321</v>
      </c>
      <c r="T3" s="569"/>
      <c r="U3" s="569"/>
      <c r="V3" s="569"/>
      <c r="W3" s="569"/>
      <c r="X3" s="246"/>
    </row>
    <row r="4" spans="2:24" ht="15.75">
      <c r="B4" s="569"/>
      <c r="C4" s="570"/>
      <c r="D4" s="570"/>
      <c r="E4" s="570"/>
      <c r="F4" s="569" t="s">
        <v>274</v>
      </c>
      <c r="G4" s="569"/>
      <c r="H4" s="569"/>
      <c r="I4" s="569" t="s">
        <v>334</v>
      </c>
      <c r="J4" s="569"/>
      <c r="K4" s="569"/>
      <c r="L4" s="569" t="s">
        <v>275</v>
      </c>
      <c r="M4" s="569"/>
      <c r="N4" s="569"/>
      <c r="O4" s="569" t="s">
        <v>335</v>
      </c>
      <c r="P4" s="569"/>
      <c r="Q4" s="569"/>
      <c r="R4" s="570" t="s">
        <v>336</v>
      </c>
      <c r="S4" s="569" t="s">
        <v>276</v>
      </c>
      <c r="T4" s="569"/>
      <c r="U4" s="569"/>
      <c r="V4" s="570" t="s">
        <v>277</v>
      </c>
      <c r="W4" s="570"/>
      <c r="X4" s="247"/>
    </row>
    <row r="5" spans="2:24" ht="15.75">
      <c r="B5" s="569"/>
      <c r="C5" s="429" t="s">
        <v>337</v>
      </c>
      <c r="D5" s="428" t="s">
        <v>338</v>
      </c>
      <c r="E5" s="428" t="s">
        <v>314</v>
      </c>
      <c r="F5" s="428" t="s">
        <v>314</v>
      </c>
      <c r="G5" s="428" t="s">
        <v>339</v>
      </c>
      <c r="H5" s="428" t="s">
        <v>340</v>
      </c>
      <c r="I5" s="428" t="s">
        <v>314</v>
      </c>
      <c r="J5" s="428" t="s">
        <v>339</v>
      </c>
      <c r="K5" s="428" t="s">
        <v>340</v>
      </c>
      <c r="L5" s="428" t="s">
        <v>314</v>
      </c>
      <c r="M5" s="428" t="s">
        <v>339</v>
      </c>
      <c r="N5" s="428" t="s">
        <v>340</v>
      </c>
      <c r="O5" s="428" t="s">
        <v>314</v>
      </c>
      <c r="P5" s="428" t="s">
        <v>341</v>
      </c>
      <c r="Q5" s="428" t="s">
        <v>340</v>
      </c>
      <c r="R5" s="570"/>
      <c r="S5" s="428" t="s">
        <v>314</v>
      </c>
      <c r="T5" s="428" t="s">
        <v>339</v>
      </c>
      <c r="U5" s="428" t="s">
        <v>340</v>
      </c>
      <c r="V5" s="428" t="s">
        <v>342</v>
      </c>
      <c r="W5" s="429" t="s">
        <v>343</v>
      </c>
      <c r="X5" s="245"/>
    </row>
    <row r="6" spans="2:24" ht="15" customHeight="1">
      <c r="B6" s="547"/>
      <c r="C6" s="400" t="str">
        <f>IF(ANÁLISIS!B8=0," ",ANÁLISIS!B8)</f>
        <v>Despliega la lista y selecciona</v>
      </c>
      <c r="D6" s="305">
        <f>IFERROR(VLOOKUP(C6,ANÁLISIS!$B$8:$G$29,4,FALSE)," ")</f>
        <v>0</v>
      </c>
      <c r="E6" s="401" t="str">
        <f>IFERROR((D6/D$33)*100," ")</f>
        <v xml:space="preserve"> </v>
      </c>
      <c r="F6" s="305" t="str">
        <f>IFERROR(VLOOKUP(C6,INGREDIENTES!$C$7:$Q$141,10,FALSE)," ")</f>
        <v xml:space="preserve"> </v>
      </c>
      <c r="G6" s="401" t="str">
        <f>IFERROR((D6*F6)/100," ")</f>
        <v xml:space="preserve"> </v>
      </c>
      <c r="H6" s="402" t="str">
        <f>IFERROR(4*G6," ")</f>
        <v xml:space="preserve"> </v>
      </c>
      <c r="I6" s="401" t="str">
        <f>IFERROR(VLOOKUP(C6,INGREDIENTES!$C$7:$Q$141,11,FALSE)," ")</f>
        <v xml:space="preserve"> </v>
      </c>
      <c r="J6" s="401" t="str">
        <f>IFERROR((I6*D6)/100," ")</f>
        <v xml:space="preserve"> </v>
      </c>
      <c r="K6" s="402" t="str">
        <f>IFERROR(9*J6," ")</f>
        <v xml:space="preserve"> </v>
      </c>
      <c r="L6" s="403" t="str">
        <f>IFERROR(VLOOKUP(C6,INGREDIENTES!$C$7:$Q$141,12,FALSE)," ")</f>
        <v xml:space="preserve"> </v>
      </c>
      <c r="M6" s="401" t="str">
        <f>IFERROR((L6*D6)/100," ")</f>
        <v xml:space="preserve"> </v>
      </c>
      <c r="N6" s="402" t="str">
        <f>IFERROR(4*M6," ")</f>
        <v xml:space="preserve"> </v>
      </c>
      <c r="O6" s="404" t="str">
        <f>IFERROR(100-(F6+I6+L6)," ")</f>
        <v xml:space="preserve"> </v>
      </c>
      <c r="P6" s="401" t="str">
        <f>IFERROR((D6*O6)/100," ")</f>
        <v xml:space="preserve"> </v>
      </c>
      <c r="Q6" s="404" t="str">
        <f>IFERROR(0*P6," ")</f>
        <v xml:space="preserve"> </v>
      </c>
      <c r="R6" s="405" t="str">
        <f>IFERROR(H6+K6+N6+Q6," ")</f>
        <v xml:space="preserve"> </v>
      </c>
      <c r="S6" s="402" t="str">
        <f>IFERROR(VLOOKUP(C6,INGREDIENTES!$C$7:$Q$141,13,FALSE)," ")</f>
        <v xml:space="preserve"> </v>
      </c>
      <c r="T6" s="401" t="str">
        <f>IFERROR((S6*D6)/100," ")</f>
        <v xml:space="preserve"> </v>
      </c>
      <c r="U6" s="402" t="str">
        <f>IFERROR(T6*2," ")</f>
        <v xml:space="preserve"> </v>
      </c>
      <c r="V6" s="404" t="str">
        <f>IFERROR(VLOOKUP(C6,INGREDIENTES!$C$7:$Q$141,14,FALSE)," ")</f>
        <v xml:space="preserve"> </v>
      </c>
      <c r="W6" s="401" t="str">
        <f>IFERROR((V6*D6)/100," ")</f>
        <v xml:space="preserve"> </v>
      </c>
      <c r="X6" s="248"/>
    </row>
    <row r="7" spans="2:24" ht="15" customHeight="1">
      <c r="B7" s="547"/>
      <c r="C7" s="400" t="str">
        <f>IF(ANÁLISIS!B9=0," ",ANÁLISIS!B9)</f>
        <v>Despliega la lista y selecciona</v>
      </c>
      <c r="D7" s="305">
        <f>IFERROR(VLOOKUP(C7,ANÁLISIS!$B$8:$G$29,4,FALSE)," ")</f>
        <v>0</v>
      </c>
      <c r="E7" s="401" t="str">
        <f t="shared" ref="E7:E19" si="0">IFERROR((D7/D$33)*100," ")</f>
        <v xml:space="preserve"> </v>
      </c>
      <c r="F7" s="305" t="str">
        <f>IFERROR(VLOOKUP(C7,INGREDIENTES!$C$7:$Q$141,10,FALSE)," ")</f>
        <v xml:space="preserve"> </v>
      </c>
      <c r="G7" s="401" t="str">
        <f t="shared" ref="G7:G19" si="1">IFERROR((D7*F7)/100," ")</f>
        <v xml:space="preserve"> </v>
      </c>
      <c r="H7" s="402" t="str">
        <f t="shared" ref="H7:H19" si="2">IFERROR(4*G7," ")</f>
        <v xml:space="preserve"> </v>
      </c>
      <c r="I7" s="401" t="str">
        <f>IFERROR(VLOOKUP(C7,INGREDIENTES!$C$7:$Q$141,11,FALSE)," ")</f>
        <v xml:space="preserve"> </v>
      </c>
      <c r="J7" s="401" t="str">
        <f t="shared" ref="J7:J19" si="3">IFERROR((I7*D7)/100," ")</f>
        <v xml:space="preserve"> </v>
      </c>
      <c r="K7" s="402" t="str">
        <f t="shared" ref="K7:K19" si="4">IFERROR(9*J7," ")</f>
        <v xml:space="preserve"> </v>
      </c>
      <c r="L7" s="403" t="str">
        <f>IFERROR(VLOOKUP(C7,INGREDIENTES!$C$7:$Q$141,12,FALSE)," ")</f>
        <v xml:space="preserve"> </v>
      </c>
      <c r="M7" s="401" t="str">
        <f t="shared" ref="M7:M19" si="5">IFERROR((L7*D7)/100," ")</f>
        <v xml:space="preserve"> </v>
      </c>
      <c r="N7" s="402" t="str">
        <f t="shared" ref="N7:N19" si="6">IFERROR(4*M7," ")</f>
        <v xml:space="preserve"> </v>
      </c>
      <c r="O7" s="404" t="str">
        <f t="shared" ref="O7:O19" si="7">IFERROR(100-(F7+I7+L7)," ")</f>
        <v xml:space="preserve"> </v>
      </c>
      <c r="P7" s="401" t="str">
        <f t="shared" ref="P7:P19" si="8">IFERROR((D7*O7)/100," ")</f>
        <v xml:space="preserve"> </v>
      </c>
      <c r="Q7" s="404" t="str">
        <f t="shared" ref="Q7:Q19" si="9">IFERROR(0*P7," ")</f>
        <v xml:space="preserve"> </v>
      </c>
      <c r="R7" s="405" t="str">
        <f t="shared" ref="R7:R19" si="10">IFERROR(H7+K7+N7+Q7," ")</f>
        <v xml:space="preserve"> </v>
      </c>
      <c r="S7" s="402" t="str">
        <f>IFERROR(VLOOKUP(C7,INGREDIENTES!$C$7:$Q$141,13,FALSE)," ")</f>
        <v xml:space="preserve"> </v>
      </c>
      <c r="T7" s="401" t="str">
        <f t="shared" ref="T7:T19" si="11">IFERROR((S7*D7)/100," ")</f>
        <v xml:space="preserve"> </v>
      </c>
      <c r="U7" s="402" t="str">
        <f t="shared" ref="U7:U19" si="12">IFERROR(T7*2," ")</f>
        <v xml:space="preserve"> </v>
      </c>
      <c r="V7" s="404" t="str">
        <f>IFERROR(VLOOKUP(C7,INGREDIENTES!$C$7:$Q$141,14,FALSE)," ")</f>
        <v xml:space="preserve"> </v>
      </c>
      <c r="W7" s="401" t="str">
        <f t="shared" ref="W7:W19" si="13">IFERROR((V7*D7)/100," ")</f>
        <v xml:space="preserve"> </v>
      </c>
      <c r="X7" s="248"/>
    </row>
    <row r="8" spans="2:24" ht="15" customHeight="1">
      <c r="B8" s="547"/>
      <c r="C8" s="400" t="str">
        <f>IF(ANÁLISIS!B10=0," ",ANÁLISIS!B10)</f>
        <v>Despliega la lista y selecciona</v>
      </c>
      <c r="D8" s="305">
        <f>IFERROR(VLOOKUP(C8,ANÁLISIS!$B$8:$G$29,4,FALSE)," ")</f>
        <v>0</v>
      </c>
      <c r="E8" s="401" t="str">
        <f t="shared" si="0"/>
        <v xml:space="preserve"> </v>
      </c>
      <c r="F8" s="305" t="str">
        <f>IFERROR(VLOOKUP(C8,INGREDIENTES!$C$7:$Q$141,10,FALSE)," ")</f>
        <v xml:space="preserve"> </v>
      </c>
      <c r="G8" s="401" t="str">
        <f t="shared" si="1"/>
        <v xml:space="preserve"> </v>
      </c>
      <c r="H8" s="402" t="str">
        <f t="shared" si="2"/>
        <v xml:space="preserve"> </v>
      </c>
      <c r="I8" s="401" t="str">
        <f>IFERROR(VLOOKUP(C8,INGREDIENTES!$C$7:$Q$141,11,FALSE)," ")</f>
        <v xml:space="preserve"> </v>
      </c>
      <c r="J8" s="401" t="str">
        <f t="shared" si="3"/>
        <v xml:space="preserve"> </v>
      </c>
      <c r="K8" s="402" t="str">
        <f t="shared" si="4"/>
        <v xml:space="preserve"> </v>
      </c>
      <c r="L8" s="403" t="str">
        <f>IFERROR(VLOOKUP(C8,INGREDIENTES!$C$7:$Q$141,12,FALSE)," ")</f>
        <v xml:space="preserve"> </v>
      </c>
      <c r="M8" s="401" t="str">
        <f t="shared" si="5"/>
        <v xml:space="preserve"> </v>
      </c>
      <c r="N8" s="402" t="str">
        <f t="shared" si="6"/>
        <v xml:space="preserve"> </v>
      </c>
      <c r="O8" s="404" t="str">
        <f t="shared" si="7"/>
        <v xml:space="preserve"> </v>
      </c>
      <c r="P8" s="401" t="str">
        <f t="shared" si="8"/>
        <v xml:space="preserve"> </v>
      </c>
      <c r="Q8" s="404" t="str">
        <f t="shared" si="9"/>
        <v xml:space="preserve"> </v>
      </c>
      <c r="R8" s="405" t="str">
        <f t="shared" si="10"/>
        <v xml:space="preserve"> </v>
      </c>
      <c r="S8" s="402" t="str">
        <f>IFERROR(VLOOKUP(C8,INGREDIENTES!$C$7:$Q$141,13,FALSE)," ")</f>
        <v xml:space="preserve"> </v>
      </c>
      <c r="T8" s="401" t="str">
        <f t="shared" si="11"/>
        <v xml:space="preserve"> </v>
      </c>
      <c r="U8" s="402" t="str">
        <f t="shared" si="12"/>
        <v xml:space="preserve"> </v>
      </c>
      <c r="V8" s="404" t="str">
        <f>IFERROR(VLOOKUP(C8,INGREDIENTES!$C$7:$Q$141,14,FALSE)," ")</f>
        <v xml:space="preserve"> </v>
      </c>
      <c r="W8" s="401" t="str">
        <f t="shared" si="13"/>
        <v xml:space="preserve"> </v>
      </c>
      <c r="X8" s="248"/>
    </row>
    <row r="9" spans="2:24" ht="15" customHeight="1">
      <c r="B9" s="547"/>
      <c r="C9" s="400" t="str">
        <f>IF(ANÁLISIS!B11=0," ",ANÁLISIS!B11)</f>
        <v xml:space="preserve"> </v>
      </c>
      <c r="D9" s="305" t="str">
        <f>IFERROR(VLOOKUP(C9,ANÁLISIS!$B$8:$G$29,4,FALSE)," ")</f>
        <v xml:space="preserve"> </v>
      </c>
      <c r="E9" s="401" t="str">
        <f t="shared" si="0"/>
        <v xml:space="preserve"> </v>
      </c>
      <c r="F9" s="305" t="str">
        <f>IFERROR(VLOOKUP(C9,INGREDIENTES!$C$7:$Q$141,10,FALSE)," ")</f>
        <v xml:space="preserve"> </v>
      </c>
      <c r="G9" s="401" t="str">
        <f t="shared" si="1"/>
        <v xml:space="preserve"> </v>
      </c>
      <c r="H9" s="402" t="str">
        <f t="shared" si="2"/>
        <v xml:space="preserve"> </v>
      </c>
      <c r="I9" s="401" t="str">
        <f>IFERROR(VLOOKUP(C9,INGREDIENTES!$C$7:$Q$141,11,FALSE)," ")</f>
        <v xml:space="preserve"> </v>
      </c>
      <c r="J9" s="401" t="str">
        <f t="shared" si="3"/>
        <v xml:space="preserve"> </v>
      </c>
      <c r="K9" s="402" t="str">
        <f t="shared" si="4"/>
        <v xml:space="preserve"> </v>
      </c>
      <c r="L9" s="403" t="str">
        <f>IFERROR(VLOOKUP(C9,INGREDIENTES!$C$7:$Q$141,12,FALSE)," ")</f>
        <v xml:space="preserve"> </v>
      </c>
      <c r="M9" s="401" t="str">
        <f t="shared" si="5"/>
        <v xml:space="preserve"> </v>
      </c>
      <c r="N9" s="402" t="str">
        <f t="shared" si="6"/>
        <v xml:space="preserve"> </v>
      </c>
      <c r="O9" s="404" t="str">
        <f t="shared" si="7"/>
        <v xml:space="preserve"> </v>
      </c>
      <c r="P9" s="401" t="str">
        <f t="shared" si="8"/>
        <v xml:space="preserve"> </v>
      </c>
      <c r="Q9" s="404" t="str">
        <f t="shared" si="9"/>
        <v xml:space="preserve"> </v>
      </c>
      <c r="R9" s="405" t="str">
        <f t="shared" si="10"/>
        <v xml:space="preserve"> </v>
      </c>
      <c r="S9" s="402" t="str">
        <f>IFERROR(VLOOKUP(C9,INGREDIENTES!$C$7:$Q$141,13,FALSE)," ")</f>
        <v xml:space="preserve"> </v>
      </c>
      <c r="T9" s="401" t="str">
        <f t="shared" si="11"/>
        <v xml:space="preserve"> </v>
      </c>
      <c r="U9" s="402" t="str">
        <f t="shared" si="12"/>
        <v xml:space="preserve"> </v>
      </c>
      <c r="V9" s="404" t="str">
        <f>IFERROR(VLOOKUP(C9,INGREDIENTES!$C$7:$Q$141,14,FALSE)," ")</f>
        <v xml:space="preserve"> </v>
      </c>
      <c r="W9" s="401" t="str">
        <f t="shared" si="13"/>
        <v xml:space="preserve"> </v>
      </c>
      <c r="X9" s="248"/>
    </row>
    <row r="10" spans="2:24" ht="15" customHeight="1">
      <c r="B10" s="547"/>
      <c r="C10" s="400" t="str">
        <f>IF(ANÁLISIS!B12=0," ",ANÁLISIS!B12)</f>
        <v xml:space="preserve"> </v>
      </c>
      <c r="D10" s="305" t="str">
        <f>IFERROR(VLOOKUP(C10,ANÁLISIS!$B$8:$G$29,4,FALSE)," ")</f>
        <v xml:space="preserve"> </v>
      </c>
      <c r="E10" s="401" t="str">
        <f t="shared" si="0"/>
        <v xml:space="preserve"> </v>
      </c>
      <c r="F10" s="305" t="str">
        <f>IFERROR(VLOOKUP(C10,INGREDIENTES!$C$7:$Q$141,10,FALSE)," ")</f>
        <v xml:space="preserve"> </v>
      </c>
      <c r="G10" s="401" t="str">
        <f t="shared" si="1"/>
        <v xml:space="preserve"> </v>
      </c>
      <c r="H10" s="402" t="str">
        <f t="shared" si="2"/>
        <v xml:space="preserve"> </v>
      </c>
      <c r="I10" s="401" t="str">
        <f>IFERROR(VLOOKUP(C10,INGREDIENTES!$C$7:$Q$141,11,FALSE)," ")</f>
        <v xml:space="preserve"> </v>
      </c>
      <c r="J10" s="401" t="str">
        <f t="shared" si="3"/>
        <v xml:space="preserve"> </v>
      </c>
      <c r="K10" s="402" t="str">
        <f t="shared" si="4"/>
        <v xml:space="preserve"> </v>
      </c>
      <c r="L10" s="403" t="str">
        <f>IFERROR(VLOOKUP(C10,INGREDIENTES!$C$7:$Q$141,12,FALSE)," ")</f>
        <v xml:space="preserve"> </v>
      </c>
      <c r="M10" s="401" t="str">
        <f t="shared" si="5"/>
        <v xml:space="preserve"> </v>
      </c>
      <c r="N10" s="402" t="str">
        <f t="shared" si="6"/>
        <v xml:space="preserve"> </v>
      </c>
      <c r="O10" s="404" t="str">
        <f t="shared" si="7"/>
        <v xml:space="preserve"> </v>
      </c>
      <c r="P10" s="401" t="str">
        <f t="shared" si="8"/>
        <v xml:space="preserve"> </v>
      </c>
      <c r="Q10" s="404" t="str">
        <f t="shared" si="9"/>
        <v xml:space="preserve"> </v>
      </c>
      <c r="R10" s="405" t="str">
        <f t="shared" si="10"/>
        <v xml:space="preserve"> </v>
      </c>
      <c r="S10" s="402" t="str">
        <f>IFERROR(VLOOKUP(C10,INGREDIENTES!$C$7:$Q$141,13,FALSE)," ")</f>
        <v xml:space="preserve"> </v>
      </c>
      <c r="T10" s="401" t="str">
        <f t="shared" si="11"/>
        <v xml:space="preserve"> </v>
      </c>
      <c r="U10" s="402" t="str">
        <f t="shared" si="12"/>
        <v xml:space="preserve"> </v>
      </c>
      <c r="V10" s="404" t="str">
        <f>IFERROR(VLOOKUP(C10,INGREDIENTES!$C$7:$Q$141,14,FALSE)," ")</f>
        <v xml:space="preserve"> </v>
      </c>
      <c r="W10" s="401" t="str">
        <f t="shared" si="13"/>
        <v xml:space="preserve"> </v>
      </c>
      <c r="X10" s="248"/>
    </row>
    <row r="11" spans="2:24" ht="15" customHeight="1">
      <c r="B11" s="547"/>
      <c r="C11" s="400" t="str">
        <f>IF(ANÁLISIS!B13=0," ",ANÁLISIS!B13)</f>
        <v xml:space="preserve"> </v>
      </c>
      <c r="D11" s="305" t="str">
        <f>IFERROR(VLOOKUP(C11,ANÁLISIS!$B$8:$G$29,4,FALSE)," ")</f>
        <v xml:space="preserve"> </v>
      </c>
      <c r="E11" s="401" t="str">
        <f t="shared" si="0"/>
        <v xml:space="preserve"> </v>
      </c>
      <c r="F11" s="305" t="str">
        <f>IFERROR(VLOOKUP(C11,INGREDIENTES!$C$7:$Q$141,10,FALSE)," ")</f>
        <v xml:space="preserve"> </v>
      </c>
      <c r="G11" s="401" t="str">
        <f t="shared" si="1"/>
        <v xml:space="preserve"> </v>
      </c>
      <c r="H11" s="402" t="str">
        <f t="shared" si="2"/>
        <v xml:space="preserve"> </v>
      </c>
      <c r="I11" s="401" t="str">
        <f>IFERROR(VLOOKUP(C11,INGREDIENTES!$C$7:$Q$141,11,FALSE)," ")</f>
        <v xml:space="preserve"> </v>
      </c>
      <c r="J11" s="401" t="str">
        <f t="shared" si="3"/>
        <v xml:space="preserve"> </v>
      </c>
      <c r="K11" s="402" t="str">
        <f t="shared" si="4"/>
        <v xml:space="preserve"> </v>
      </c>
      <c r="L11" s="403" t="str">
        <f>IFERROR(VLOOKUP(C11,INGREDIENTES!$C$7:$Q$141,12,FALSE)," ")</f>
        <v xml:space="preserve"> </v>
      </c>
      <c r="M11" s="401" t="str">
        <f t="shared" si="5"/>
        <v xml:space="preserve"> </v>
      </c>
      <c r="N11" s="402" t="str">
        <f t="shared" si="6"/>
        <v xml:space="preserve"> </v>
      </c>
      <c r="O11" s="404" t="str">
        <f t="shared" si="7"/>
        <v xml:space="preserve"> </v>
      </c>
      <c r="P11" s="401" t="str">
        <f t="shared" si="8"/>
        <v xml:space="preserve"> </v>
      </c>
      <c r="Q11" s="404" t="str">
        <f t="shared" si="9"/>
        <v xml:space="preserve"> </v>
      </c>
      <c r="R11" s="405" t="str">
        <f t="shared" si="10"/>
        <v xml:space="preserve"> </v>
      </c>
      <c r="S11" s="402" t="str">
        <f>IFERROR(VLOOKUP(C11,INGREDIENTES!$C$7:$Q$141,13,FALSE)," ")</f>
        <v xml:space="preserve"> </v>
      </c>
      <c r="T11" s="401" t="str">
        <f t="shared" si="11"/>
        <v xml:space="preserve"> </v>
      </c>
      <c r="U11" s="402" t="str">
        <f t="shared" si="12"/>
        <v xml:space="preserve"> </v>
      </c>
      <c r="V11" s="404" t="str">
        <f>IFERROR(VLOOKUP(C11,INGREDIENTES!$C$7:$Q$141,14,FALSE)," ")</f>
        <v xml:space="preserve"> </v>
      </c>
      <c r="W11" s="401" t="str">
        <f t="shared" si="13"/>
        <v xml:space="preserve"> </v>
      </c>
      <c r="X11" s="248"/>
    </row>
    <row r="12" spans="2:24" ht="15" customHeight="1">
      <c r="B12" s="547"/>
      <c r="C12" s="400" t="str">
        <f>IF(ANÁLISIS!B14=0," ",ANÁLISIS!B14)</f>
        <v xml:space="preserve"> </v>
      </c>
      <c r="D12" s="305" t="str">
        <f>IFERROR(VLOOKUP(C12,ANÁLISIS!$B$8:$G$29,4,FALSE)," ")</f>
        <v xml:space="preserve"> </v>
      </c>
      <c r="E12" s="401" t="str">
        <f t="shared" si="0"/>
        <v xml:space="preserve"> </v>
      </c>
      <c r="F12" s="305" t="str">
        <f>IFERROR(VLOOKUP(C12,INGREDIENTES!$C$7:$Q$141,10,FALSE)," ")</f>
        <v xml:space="preserve"> </v>
      </c>
      <c r="G12" s="401" t="str">
        <f t="shared" si="1"/>
        <v xml:space="preserve"> </v>
      </c>
      <c r="H12" s="402" t="str">
        <f t="shared" si="2"/>
        <v xml:space="preserve"> </v>
      </c>
      <c r="I12" s="401" t="str">
        <f>IFERROR(VLOOKUP(C12,INGREDIENTES!$C$7:$Q$141,11,FALSE)," ")</f>
        <v xml:space="preserve"> </v>
      </c>
      <c r="J12" s="401" t="str">
        <f t="shared" si="3"/>
        <v xml:space="preserve"> </v>
      </c>
      <c r="K12" s="402" t="str">
        <f t="shared" si="4"/>
        <v xml:space="preserve"> </v>
      </c>
      <c r="L12" s="403" t="str">
        <f>IFERROR(VLOOKUP(C12,INGREDIENTES!$C$7:$Q$141,12,FALSE)," ")</f>
        <v xml:space="preserve"> </v>
      </c>
      <c r="M12" s="401" t="str">
        <f t="shared" si="5"/>
        <v xml:space="preserve"> </v>
      </c>
      <c r="N12" s="402" t="str">
        <f t="shared" si="6"/>
        <v xml:space="preserve"> </v>
      </c>
      <c r="O12" s="404" t="str">
        <f t="shared" si="7"/>
        <v xml:space="preserve"> </v>
      </c>
      <c r="P12" s="401" t="str">
        <f t="shared" si="8"/>
        <v xml:space="preserve"> </v>
      </c>
      <c r="Q12" s="404" t="str">
        <f t="shared" si="9"/>
        <v xml:space="preserve"> </v>
      </c>
      <c r="R12" s="405" t="str">
        <f t="shared" si="10"/>
        <v xml:space="preserve"> </v>
      </c>
      <c r="S12" s="402" t="str">
        <f>IFERROR(VLOOKUP(C12,INGREDIENTES!$C$7:$Q$141,13,FALSE)," ")</f>
        <v xml:space="preserve"> </v>
      </c>
      <c r="T12" s="401" t="str">
        <f t="shared" si="11"/>
        <v xml:space="preserve"> </v>
      </c>
      <c r="U12" s="402" t="str">
        <f t="shared" si="12"/>
        <v xml:space="preserve"> </v>
      </c>
      <c r="V12" s="404" t="str">
        <f>IFERROR(VLOOKUP(C12,INGREDIENTES!$C$7:$Q$141,14,FALSE)," ")</f>
        <v xml:space="preserve"> </v>
      </c>
      <c r="W12" s="401" t="str">
        <f t="shared" si="13"/>
        <v xml:space="preserve"> </v>
      </c>
      <c r="X12" s="248"/>
    </row>
    <row r="13" spans="2:24" ht="15" customHeight="1">
      <c r="B13" s="547"/>
      <c r="C13" s="400" t="str">
        <f>IF(ANÁLISIS!B15=0," ",ANÁLISIS!B15)</f>
        <v xml:space="preserve"> </v>
      </c>
      <c r="D13" s="305" t="str">
        <f>IFERROR(VLOOKUP(C13,ANÁLISIS!$B$8:$G$29,4,FALSE)," ")</f>
        <v xml:space="preserve"> </v>
      </c>
      <c r="E13" s="401" t="str">
        <f t="shared" si="0"/>
        <v xml:space="preserve"> </v>
      </c>
      <c r="F13" s="305" t="str">
        <f>IFERROR(VLOOKUP(C13,INGREDIENTES!$C$7:$Q$141,10,FALSE)," ")</f>
        <v xml:space="preserve"> </v>
      </c>
      <c r="G13" s="401" t="str">
        <f t="shared" si="1"/>
        <v xml:space="preserve"> </v>
      </c>
      <c r="H13" s="402" t="str">
        <f t="shared" si="2"/>
        <v xml:space="preserve"> </v>
      </c>
      <c r="I13" s="401" t="str">
        <f>IFERROR(VLOOKUP(C13,INGREDIENTES!$C$7:$Q$141,11,FALSE)," ")</f>
        <v xml:space="preserve"> </v>
      </c>
      <c r="J13" s="401" t="str">
        <f t="shared" si="3"/>
        <v xml:space="preserve"> </v>
      </c>
      <c r="K13" s="402" t="str">
        <f t="shared" si="4"/>
        <v xml:space="preserve"> </v>
      </c>
      <c r="L13" s="403" t="str">
        <f>IFERROR(VLOOKUP(C13,INGREDIENTES!$C$7:$Q$141,12,FALSE)," ")</f>
        <v xml:space="preserve"> </v>
      </c>
      <c r="M13" s="401" t="str">
        <f t="shared" si="5"/>
        <v xml:space="preserve"> </v>
      </c>
      <c r="N13" s="402" t="str">
        <f t="shared" si="6"/>
        <v xml:space="preserve"> </v>
      </c>
      <c r="O13" s="404" t="str">
        <f t="shared" si="7"/>
        <v xml:space="preserve"> </v>
      </c>
      <c r="P13" s="401" t="str">
        <f t="shared" si="8"/>
        <v xml:space="preserve"> </v>
      </c>
      <c r="Q13" s="404" t="str">
        <f t="shared" si="9"/>
        <v xml:space="preserve"> </v>
      </c>
      <c r="R13" s="405" t="str">
        <f t="shared" si="10"/>
        <v xml:space="preserve"> </v>
      </c>
      <c r="S13" s="402" t="str">
        <f>IFERROR(VLOOKUP(C13,INGREDIENTES!$C$7:$Q$141,13,FALSE)," ")</f>
        <v xml:space="preserve"> </v>
      </c>
      <c r="T13" s="401" t="str">
        <f t="shared" si="11"/>
        <v xml:space="preserve"> </v>
      </c>
      <c r="U13" s="402" t="str">
        <f t="shared" si="12"/>
        <v xml:space="preserve"> </v>
      </c>
      <c r="V13" s="404" t="str">
        <f>IFERROR(VLOOKUP(C13,INGREDIENTES!$C$7:$Q$141,14,FALSE)," ")</f>
        <v xml:space="preserve"> </v>
      </c>
      <c r="W13" s="401" t="str">
        <f t="shared" si="13"/>
        <v xml:space="preserve"> </v>
      </c>
      <c r="X13" s="248"/>
    </row>
    <row r="14" spans="2:24" ht="15" customHeight="1">
      <c r="B14" s="547"/>
      <c r="C14" s="400" t="str">
        <f>IF(ANÁLISIS!B16=0," ",ANÁLISIS!B16)</f>
        <v xml:space="preserve"> </v>
      </c>
      <c r="D14" s="305" t="str">
        <f>IFERROR(VLOOKUP(C14,ANÁLISIS!$B$8:$G$29,4,FALSE)," ")</f>
        <v xml:space="preserve"> </v>
      </c>
      <c r="E14" s="401" t="str">
        <f t="shared" si="0"/>
        <v xml:space="preserve"> </v>
      </c>
      <c r="F14" s="305" t="str">
        <f>IFERROR(VLOOKUP(C14,INGREDIENTES!$C$7:$Q$141,10,FALSE)," ")</f>
        <v xml:space="preserve"> </v>
      </c>
      <c r="G14" s="401" t="str">
        <f t="shared" si="1"/>
        <v xml:space="preserve"> </v>
      </c>
      <c r="H14" s="402" t="str">
        <f t="shared" si="2"/>
        <v xml:space="preserve"> </v>
      </c>
      <c r="I14" s="401" t="str">
        <f>IFERROR(VLOOKUP(C14,INGREDIENTES!$C$7:$Q$141,11,FALSE)," ")</f>
        <v xml:space="preserve"> </v>
      </c>
      <c r="J14" s="401" t="str">
        <f t="shared" si="3"/>
        <v xml:space="preserve"> </v>
      </c>
      <c r="K14" s="402" t="str">
        <f t="shared" si="4"/>
        <v xml:space="preserve"> </v>
      </c>
      <c r="L14" s="403" t="str">
        <f>IFERROR(VLOOKUP(C14,INGREDIENTES!$C$7:$Q$141,12,FALSE)," ")</f>
        <v xml:space="preserve"> </v>
      </c>
      <c r="M14" s="401" t="str">
        <f t="shared" si="5"/>
        <v xml:space="preserve"> </v>
      </c>
      <c r="N14" s="402" t="str">
        <f t="shared" si="6"/>
        <v xml:space="preserve"> </v>
      </c>
      <c r="O14" s="404" t="str">
        <f t="shared" si="7"/>
        <v xml:space="preserve"> </v>
      </c>
      <c r="P14" s="401" t="str">
        <f t="shared" si="8"/>
        <v xml:space="preserve"> </v>
      </c>
      <c r="Q14" s="404" t="str">
        <f t="shared" si="9"/>
        <v xml:space="preserve"> </v>
      </c>
      <c r="R14" s="405" t="str">
        <f t="shared" si="10"/>
        <v xml:space="preserve"> </v>
      </c>
      <c r="S14" s="402" t="str">
        <f>IFERROR(VLOOKUP(C14,INGREDIENTES!$C$7:$Q$141,13,FALSE)," ")</f>
        <v xml:space="preserve"> </v>
      </c>
      <c r="T14" s="401" t="str">
        <f t="shared" si="11"/>
        <v xml:space="preserve"> </v>
      </c>
      <c r="U14" s="402" t="str">
        <f t="shared" si="12"/>
        <v xml:space="preserve"> </v>
      </c>
      <c r="V14" s="404" t="str">
        <f>IFERROR(VLOOKUP(C14,INGREDIENTES!$C$7:$Q$141,14,FALSE)," ")</f>
        <v xml:space="preserve"> </v>
      </c>
      <c r="W14" s="401" t="str">
        <f t="shared" si="13"/>
        <v xml:space="preserve"> </v>
      </c>
      <c r="X14" s="248"/>
    </row>
    <row r="15" spans="2:24" ht="15" customHeight="1">
      <c r="B15" s="547"/>
      <c r="C15" s="400" t="str">
        <f>IF(ANÁLISIS!B17=0," ",ANÁLISIS!B17)</f>
        <v xml:space="preserve"> </v>
      </c>
      <c r="D15" s="305" t="str">
        <f>IFERROR(VLOOKUP(C15,ANÁLISIS!$B$8:$G$29,4,FALSE)," ")</f>
        <v xml:space="preserve"> </v>
      </c>
      <c r="E15" s="401" t="str">
        <f t="shared" si="0"/>
        <v xml:space="preserve"> </v>
      </c>
      <c r="F15" s="305" t="str">
        <f>IFERROR(VLOOKUP(C15,INGREDIENTES!$C$7:$Q$141,10,FALSE)," ")</f>
        <v xml:space="preserve"> </v>
      </c>
      <c r="G15" s="401" t="str">
        <f t="shared" si="1"/>
        <v xml:space="preserve"> </v>
      </c>
      <c r="H15" s="402" t="str">
        <f t="shared" si="2"/>
        <v xml:space="preserve"> </v>
      </c>
      <c r="I15" s="401" t="str">
        <f>IFERROR(VLOOKUP(C15,INGREDIENTES!$C$7:$Q$141,11,FALSE)," ")</f>
        <v xml:space="preserve"> </v>
      </c>
      <c r="J15" s="401" t="str">
        <f t="shared" si="3"/>
        <v xml:space="preserve"> </v>
      </c>
      <c r="K15" s="402" t="str">
        <f t="shared" si="4"/>
        <v xml:space="preserve"> </v>
      </c>
      <c r="L15" s="403" t="str">
        <f>IFERROR(VLOOKUP(C15,INGREDIENTES!$C$7:$Q$141,12,FALSE)," ")</f>
        <v xml:space="preserve"> </v>
      </c>
      <c r="M15" s="401" t="str">
        <f t="shared" si="5"/>
        <v xml:space="preserve"> </v>
      </c>
      <c r="N15" s="402" t="str">
        <f t="shared" si="6"/>
        <v xml:space="preserve"> </v>
      </c>
      <c r="O15" s="404" t="str">
        <f t="shared" si="7"/>
        <v xml:space="preserve"> </v>
      </c>
      <c r="P15" s="401" t="str">
        <f t="shared" si="8"/>
        <v xml:space="preserve"> </v>
      </c>
      <c r="Q15" s="404" t="str">
        <f t="shared" si="9"/>
        <v xml:space="preserve"> </v>
      </c>
      <c r="R15" s="405" t="str">
        <f t="shared" si="10"/>
        <v xml:space="preserve"> </v>
      </c>
      <c r="S15" s="402" t="str">
        <f>IFERROR(VLOOKUP(C15,INGREDIENTES!$C$7:$Q$141,13,FALSE)," ")</f>
        <v xml:space="preserve"> </v>
      </c>
      <c r="T15" s="401" t="str">
        <f t="shared" si="11"/>
        <v xml:space="preserve"> </v>
      </c>
      <c r="U15" s="402" t="str">
        <f t="shared" si="12"/>
        <v xml:space="preserve"> </v>
      </c>
      <c r="V15" s="404" t="str">
        <f>IFERROR(VLOOKUP(C15,INGREDIENTES!$C$7:$Q$141,14,FALSE)," ")</f>
        <v xml:space="preserve"> </v>
      </c>
      <c r="W15" s="401" t="str">
        <f t="shared" si="13"/>
        <v xml:space="preserve"> </v>
      </c>
      <c r="X15" s="248"/>
    </row>
    <row r="16" spans="2:24" ht="15" customHeight="1">
      <c r="B16" s="547"/>
      <c r="C16" s="400" t="str">
        <f>IF(ANÁLISIS!B18=0," ",ANÁLISIS!B18)</f>
        <v xml:space="preserve"> </v>
      </c>
      <c r="D16" s="305" t="str">
        <f>IFERROR(VLOOKUP(C16,ANÁLISIS!$B$8:$G$29,4,FALSE)," ")</f>
        <v xml:space="preserve"> </v>
      </c>
      <c r="E16" s="401" t="str">
        <f t="shared" si="0"/>
        <v xml:space="preserve"> </v>
      </c>
      <c r="F16" s="305" t="str">
        <f>IFERROR(VLOOKUP(C16,INGREDIENTES!$C$7:$Q$141,10,FALSE)," ")</f>
        <v xml:space="preserve"> </v>
      </c>
      <c r="G16" s="401" t="str">
        <f t="shared" si="1"/>
        <v xml:space="preserve"> </v>
      </c>
      <c r="H16" s="402" t="str">
        <f t="shared" si="2"/>
        <v xml:space="preserve"> </v>
      </c>
      <c r="I16" s="401" t="str">
        <f>IFERROR(VLOOKUP(C16,INGREDIENTES!$C$7:$Q$141,11,FALSE)," ")</f>
        <v xml:space="preserve"> </v>
      </c>
      <c r="J16" s="401" t="str">
        <f t="shared" si="3"/>
        <v xml:space="preserve"> </v>
      </c>
      <c r="K16" s="402" t="str">
        <f t="shared" si="4"/>
        <v xml:space="preserve"> </v>
      </c>
      <c r="L16" s="403" t="str">
        <f>IFERROR(VLOOKUP(C16,INGREDIENTES!$C$7:$Q$141,12,FALSE)," ")</f>
        <v xml:space="preserve"> </v>
      </c>
      <c r="M16" s="401" t="str">
        <f t="shared" si="5"/>
        <v xml:space="preserve"> </v>
      </c>
      <c r="N16" s="402" t="str">
        <f t="shared" si="6"/>
        <v xml:space="preserve"> </v>
      </c>
      <c r="O16" s="404" t="str">
        <f t="shared" si="7"/>
        <v xml:space="preserve"> </v>
      </c>
      <c r="P16" s="401" t="str">
        <f t="shared" si="8"/>
        <v xml:space="preserve"> </v>
      </c>
      <c r="Q16" s="404" t="str">
        <f t="shared" si="9"/>
        <v xml:space="preserve"> </v>
      </c>
      <c r="R16" s="405" t="str">
        <f t="shared" si="10"/>
        <v xml:space="preserve"> </v>
      </c>
      <c r="S16" s="402" t="str">
        <f>IFERROR(VLOOKUP(C16,INGREDIENTES!$C$7:$Q$141,13,FALSE)," ")</f>
        <v xml:space="preserve"> </v>
      </c>
      <c r="T16" s="401" t="str">
        <f t="shared" si="11"/>
        <v xml:space="preserve"> </v>
      </c>
      <c r="U16" s="402" t="str">
        <f t="shared" si="12"/>
        <v xml:space="preserve"> </v>
      </c>
      <c r="V16" s="404" t="str">
        <f>IFERROR(VLOOKUP(C16,INGREDIENTES!$C$7:$Q$141,14,FALSE)," ")</f>
        <v xml:space="preserve"> </v>
      </c>
      <c r="W16" s="401" t="str">
        <f t="shared" si="13"/>
        <v xml:space="preserve"> </v>
      </c>
      <c r="X16" s="248"/>
    </row>
    <row r="17" spans="2:24" ht="15" customHeight="1">
      <c r="B17" s="547"/>
      <c r="C17" s="400" t="str">
        <f>IF(ANÁLISIS!B19=0," ",ANÁLISIS!B19)</f>
        <v xml:space="preserve"> </v>
      </c>
      <c r="D17" s="305" t="str">
        <f>IFERROR(VLOOKUP(C17,ANÁLISIS!$B$8:$G$29,4,FALSE)," ")</f>
        <v xml:space="preserve"> </v>
      </c>
      <c r="E17" s="401" t="str">
        <f t="shared" si="0"/>
        <v xml:space="preserve"> </v>
      </c>
      <c r="F17" s="305" t="str">
        <f>IFERROR(VLOOKUP(C17,INGREDIENTES!$C$7:$Q$141,10,FALSE)," ")</f>
        <v xml:space="preserve"> </v>
      </c>
      <c r="G17" s="401" t="str">
        <f t="shared" si="1"/>
        <v xml:space="preserve"> </v>
      </c>
      <c r="H17" s="402" t="str">
        <f t="shared" si="2"/>
        <v xml:space="preserve"> </v>
      </c>
      <c r="I17" s="401" t="str">
        <f>IFERROR(VLOOKUP(C17,INGREDIENTES!$C$7:$Q$141,11,FALSE)," ")</f>
        <v xml:space="preserve"> </v>
      </c>
      <c r="J17" s="401" t="str">
        <f t="shared" si="3"/>
        <v xml:space="preserve"> </v>
      </c>
      <c r="K17" s="402" t="str">
        <f t="shared" si="4"/>
        <v xml:space="preserve"> </v>
      </c>
      <c r="L17" s="403" t="str">
        <f>IFERROR(VLOOKUP(C17,INGREDIENTES!$C$7:$Q$141,12,FALSE)," ")</f>
        <v xml:space="preserve"> </v>
      </c>
      <c r="M17" s="401" t="str">
        <f t="shared" si="5"/>
        <v xml:space="preserve"> </v>
      </c>
      <c r="N17" s="402" t="str">
        <f t="shared" si="6"/>
        <v xml:space="preserve"> </v>
      </c>
      <c r="O17" s="404" t="str">
        <f t="shared" si="7"/>
        <v xml:space="preserve"> </v>
      </c>
      <c r="P17" s="401" t="str">
        <f t="shared" si="8"/>
        <v xml:space="preserve"> </v>
      </c>
      <c r="Q17" s="404" t="str">
        <f t="shared" si="9"/>
        <v xml:space="preserve"> </v>
      </c>
      <c r="R17" s="405" t="str">
        <f t="shared" si="10"/>
        <v xml:space="preserve"> </v>
      </c>
      <c r="S17" s="402" t="str">
        <f>IFERROR(VLOOKUP(C17,INGREDIENTES!$C$7:$Q$141,13,FALSE)," ")</f>
        <v xml:space="preserve"> </v>
      </c>
      <c r="T17" s="401" t="str">
        <f t="shared" si="11"/>
        <v xml:space="preserve"> </v>
      </c>
      <c r="U17" s="402" t="str">
        <f t="shared" si="12"/>
        <v xml:space="preserve"> </v>
      </c>
      <c r="V17" s="404" t="str">
        <f>IFERROR(VLOOKUP(C17,INGREDIENTES!$C$7:$Q$141,14,FALSE)," ")</f>
        <v xml:space="preserve"> </v>
      </c>
      <c r="W17" s="401" t="str">
        <f t="shared" si="13"/>
        <v xml:space="preserve"> </v>
      </c>
      <c r="X17" s="248"/>
    </row>
    <row r="18" spans="2:24" ht="15" customHeight="1">
      <c r="B18" s="547"/>
      <c r="C18" s="400" t="str">
        <f>IF(ANÁLISIS!B20=0," ",ANÁLISIS!B20)</f>
        <v xml:space="preserve"> </v>
      </c>
      <c r="D18" s="305" t="str">
        <f>IFERROR(VLOOKUP(C18,ANÁLISIS!$B$8:$G$29,4,FALSE)," ")</f>
        <v xml:space="preserve"> </v>
      </c>
      <c r="E18" s="401" t="str">
        <f t="shared" si="0"/>
        <v xml:space="preserve"> </v>
      </c>
      <c r="F18" s="305" t="str">
        <f>IFERROR(VLOOKUP(C18,INGREDIENTES!$C$7:$Q$141,10,FALSE)," ")</f>
        <v xml:space="preserve"> </v>
      </c>
      <c r="G18" s="401" t="str">
        <f t="shared" si="1"/>
        <v xml:space="preserve"> </v>
      </c>
      <c r="H18" s="402" t="str">
        <f t="shared" si="2"/>
        <v xml:space="preserve"> </v>
      </c>
      <c r="I18" s="401" t="str">
        <f>IFERROR(VLOOKUP(C18,INGREDIENTES!$C$7:$Q$141,11,FALSE)," ")</f>
        <v xml:space="preserve"> </v>
      </c>
      <c r="J18" s="401" t="str">
        <f t="shared" si="3"/>
        <v xml:space="preserve"> </v>
      </c>
      <c r="K18" s="402" t="str">
        <f t="shared" si="4"/>
        <v xml:space="preserve"> </v>
      </c>
      <c r="L18" s="403" t="str">
        <f>IFERROR(VLOOKUP(C18,INGREDIENTES!$C$7:$Q$141,12,FALSE)," ")</f>
        <v xml:space="preserve"> </v>
      </c>
      <c r="M18" s="401" t="str">
        <f t="shared" si="5"/>
        <v xml:space="preserve"> </v>
      </c>
      <c r="N18" s="402" t="str">
        <f t="shared" si="6"/>
        <v xml:space="preserve"> </v>
      </c>
      <c r="O18" s="404" t="str">
        <f t="shared" si="7"/>
        <v xml:space="preserve"> </v>
      </c>
      <c r="P18" s="401" t="str">
        <f t="shared" si="8"/>
        <v xml:space="preserve"> </v>
      </c>
      <c r="Q18" s="404" t="str">
        <f t="shared" si="9"/>
        <v xml:space="preserve"> </v>
      </c>
      <c r="R18" s="405" t="str">
        <f t="shared" si="10"/>
        <v xml:space="preserve"> </v>
      </c>
      <c r="S18" s="402" t="str">
        <f>IFERROR(VLOOKUP(C18,INGREDIENTES!$C$7:$Q$141,13,FALSE)," ")</f>
        <v xml:space="preserve"> </v>
      </c>
      <c r="T18" s="401" t="str">
        <f t="shared" si="11"/>
        <v xml:space="preserve"> </v>
      </c>
      <c r="U18" s="402" t="str">
        <f t="shared" si="12"/>
        <v xml:space="preserve"> </v>
      </c>
      <c r="V18" s="404" t="str">
        <f>IFERROR(VLOOKUP(C18,INGREDIENTES!$C$7:$Q$141,14,FALSE)," ")</f>
        <v xml:space="preserve"> </v>
      </c>
      <c r="W18" s="401" t="str">
        <f t="shared" si="13"/>
        <v xml:space="preserve"> </v>
      </c>
      <c r="X18" s="248"/>
    </row>
    <row r="19" spans="2:24" ht="15.75" customHeight="1">
      <c r="B19" s="547"/>
      <c r="C19" s="400" t="str">
        <f>IF(ANÁLISIS!B21=0," ",ANÁLISIS!B21)</f>
        <v xml:space="preserve"> </v>
      </c>
      <c r="D19" s="305" t="str">
        <f>IFERROR(VLOOKUP(C19,ANÁLISIS!$B$8:$G$29,4,FALSE)," ")</f>
        <v xml:space="preserve"> </v>
      </c>
      <c r="E19" s="401" t="str">
        <f t="shared" si="0"/>
        <v xml:space="preserve"> </v>
      </c>
      <c r="F19" s="305" t="str">
        <f>IFERROR(VLOOKUP(C19,INGREDIENTES!$C$7:$Q$141,10,FALSE)," ")</f>
        <v xml:space="preserve"> </v>
      </c>
      <c r="G19" s="401" t="str">
        <f t="shared" si="1"/>
        <v xml:space="preserve"> </v>
      </c>
      <c r="H19" s="402" t="str">
        <f t="shared" si="2"/>
        <v xml:space="preserve"> </v>
      </c>
      <c r="I19" s="401" t="str">
        <f>IFERROR(VLOOKUP(C19,INGREDIENTES!$C$7:$Q$141,11,FALSE)," ")</f>
        <v xml:space="preserve"> </v>
      </c>
      <c r="J19" s="401" t="str">
        <f t="shared" si="3"/>
        <v xml:space="preserve"> </v>
      </c>
      <c r="K19" s="402" t="str">
        <f t="shared" si="4"/>
        <v xml:space="preserve"> </v>
      </c>
      <c r="L19" s="403" t="str">
        <f>IFERROR(VLOOKUP(C19,INGREDIENTES!$C$7:$Q$141,12,FALSE)," ")</f>
        <v xml:space="preserve"> </v>
      </c>
      <c r="M19" s="401" t="str">
        <f t="shared" si="5"/>
        <v xml:space="preserve"> </v>
      </c>
      <c r="N19" s="402" t="str">
        <f t="shared" si="6"/>
        <v xml:space="preserve"> </v>
      </c>
      <c r="O19" s="404" t="str">
        <f t="shared" si="7"/>
        <v xml:space="preserve"> </v>
      </c>
      <c r="P19" s="401" t="str">
        <f t="shared" si="8"/>
        <v xml:space="preserve"> </v>
      </c>
      <c r="Q19" s="404" t="str">
        <f t="shared" si="9"/>
        <v xml:space="preserve"> </v>
      </c>
      <c r="R19" s="405" t="str">
        <f t="shared" si="10"/>
        <v xml:space="preserve"> </v>
      </c>
      <c r="S19" s="402" t="str">
        <f>IFERROR(VLOOKUP(C19,INGREDIENTES!$C$7:$Q$141,13,FALSE)," ")</f>
        <v xml:space="preserve"> </v>
      </c>
      <c r="T19" s="401" t="str">
        <f t="shared" si="11"/>
        <v xml:space="preserve"> </v>
      </c>
      <c r="U19" s="402" t="str">
        <f t="shared" si="12"/>
        <v xml:space="preserve"> </v>
      </c>
      <c r="V19" s="404" t="str">
        <f>IFERROR(VLOOKUP(C19,INGREDIENTES!$C$7:$Q$141,14,FALSE)," ")</f>
        <v xml:space="preserve"> </v>
      </c>
      <c r="W19" s="401" t="str">
        <f t="shared" si="13"/>
        <v xml:space="preserve"> </v>
      </c>
      <c r="X19" s="248"/>
    </row>
    <row r="20" spans="2:24" ht="15.75" customHeight="1">
      <c r="B20" s="270"/>
      <c r="C20" s="400" t="str">
        <f>IF(ANÁLISIS!B22=0," ",ANÁLISIS!B22)</f>
        <v xml:space="preserve"> </v>
      </c>
      <c r="D20" s="305" t="str">
        <f>IFERROR(VLOOKUP(C20,ANÁLISIS!$B$8:$G$29,4,FALSE)," ")</f>
        <v xml:space="preserve"> </v>
      </c>
      <c r="E20" s="401" t="str">
        <f t="shared" ref="E20:E31" si="14">IFERROR((D20/D$33)*100," ")</f>
        <v xml:space="preserve"> </v>
      </c>
      <c r="F20" s="305" t="str">
        <f>IFERROR(VLOOKUP(C20,INGREDIENTES!$C$7:$Q$141,10,FALSE)," ")</f>
        <v xml:space="preserve"> </v>
      </c>
      <c r="G20" s="401" t="str">
        <f t="shared" ref="G20:G31" si="15">IFERROR((D20*F20)/100," ")</f>
        <v xml:space="preserve"> </v>
      </c>
      <c r="H20" s="402" t="str">
        <f t="shared" ref="H20:H31" si="16">IFERROR(4*G20," ")</f>
        <v xml:space="preserve"> </v>
      </c>
      <c r="I20" s="401" t="str">
        <f>IFERROR(VLOOKUP(C20,INGREDIENTES!$C$7:$Q$141,11,FALSE)," ")</f>
        <v xml:space="preserve"> </v>
      </c>
      <c r="J20" s="401" t="str">
        <f t="shared" ref="J20:J31" si="17">IFERROR((I20*D20)/100," ")</f>
        <v xml:space="preserve"> </v>
      </c>
      <c r="K20" s="402" t="str">
        <f t="shared" ref="K20:K31" si="18">IFERROR(9*J20," ")</f>
        <v xml:space="preserve"> </v>
      </c>
      <c r="L20" s="403" t="str">
        <f>IFERROR(VLOOKUP(C20,INGREDIENTES!$C$7:$Q$141,12,FALSE)," ")</f>
        <v xml:space="preserve"> </v>
      </c>
      <c r="M20" s="401" t="str">
        <f t="shared" ref="M20:M31" si="19">IFERROR((L20*D20)/100," ")</f>
        <v xml:space="preserve"> </v>
      </c>
      <c r="N20" s="402" t="str">
        <f t="shared" ref="N20:N31" si="20">IFERROR(4*M20," ")</f>
        <v xml:space="preserve"> </v>
      </c>
      <c r="O20" s="404" t="str">
        <f t="shared" ref="O20:O31" si="21">IFERROR(100-(F20+I20+L20)," ")</f>
        <v xml:space="preserve"> </v>
      </c>
      <c r="P20" s="401" t="str">
        <f t="shared" ref="P20:P31" si="22">IFERROR((D20*O20)/100," ")</f>
        <v xml:space="preserve"> </v>
      </c>
      <c r="Q20" s="404" t="str">
        <f t="shared" ref="Q20:Q31" si="23">IFERROR(0*P20," ")</f>
        <v xml:space="preserve"> </v>
      </c>
      <c r="R20" s="405" t="str">
        <f t="shared" ref="R20:R31" si="24">IFERROR(H20+K20+N20+Q20," ")</f>
        <v xml:space="preserve"> </v>
      </c>
      <c r="S20" s="402" t="str">
        <f>IFERROR(VLOOKUP(C20,INGREDIENTES!$C$7:$Q$141,13,FALSE)," ")</f>
        <v xml:space="preserve"> </v>
      </c>
      <c r="T20" s="401" t="str">
        <f t="shared" ref="T20:T31" si="25">IFERROR((S20*D20)/100," ")</f>
        <v xml:space="preserve"> </v>
      </c>
      <c r="U20" s="402" t="str">
        <f t="shared" ref="U20:U31" si="26">IFERROR(T20*2," ")</f>
        <v xml:space="preserve"> </v>
      </c>
      <c r="V20" s="404" t="str">
        <f>IFERROR(VLOOKUP(C20,INGREDIENTES!$C$7:$Q$141,14,FALSE)," ")</f>
        <v xml:space="preserve"> </v>
      </c>
      <c r="W20" s="401" t="str">
        <f t="shared" ref="W20:W31" si="27">IFERROR((V20*D20)/100," ")</f>
        <v xml:space="preserve"> </v>
      </c>
      <c r="X20" s="248"/>
    </row>
    <row r="21" spans="2:24" ht="15.75" customHeight="1">
      <c r="B21" s="270"/>
      <c r="C21" s="400" t="str">
        <f>IF(ANÁLISIS!B23=0," ",ANÁLISIS!B23)</f>
        <v xml:space="preserve"> </v>
      </c>
      <c r="D21" s="305" t="str">
        <f>IFERROR(VLOOKUP(C21,ANÁLISIS!$B$8:$G$29,4,FALSE)," ")</f>
        <v xml:space="preserve"> </v>
      </c>
      <c r="E21" s="401" t="str">
        <f t="shared" si="14"/>
        <v xml:space="preserve"> </v>
      </c>
      <c r="F21" s="305" t="str">
        <f>IFERROR(VLOOKUP(C21,INGREDIENTES!$C$7:$Q$141,10,FALSE)," ")</f>
        <v xml:space="preserve"> </v>
      </c>
      <c r="G21" s="401" t="str">
        <f t="shared" si="15"/>
        <v xml:space="preserve"> </v>
      </c>
      <c r="H21" s="402" t="str">
        <f t="shared" si="16"/>
        <v xml:space="preserve"> </v>
      </c>
      <c r="I21" s="401" t="str">
        <f>IFERROR(VLOOKUP(C21,INGREDIENTES!$C$7:$Q$141,11,FALSE)," ")</f>
        <v xml:space="preserve"> </v>
      </c>
      <c r="J21" s="401" t="str">
        <f t="shared" si="17"/>
        <v xml:space="preserve"> </v>
      </c>
      <c r="K21" s="402" t="str">
        <f t="shared" si="18"/>
        <v xml:space="preserve"> </v>
      </c>
      <c r="L21" s="403" t="str">
        <f>IFERROR(VLOOKUP(C21,INGREDIENTES!$C$7:$Q$141,12,FALSE)," ")</f>
        <v xml:space="preserve"> </v>
      </c>
      <c r="M21" s="401" t="str">
        <f t="shared" si="19"/>
        <v xml:space="preserve"> </v>
      </c>
      <c r="N21" s="402" t="str">
        <f t="shared" si="20"/>
        <v xml:space="preserve"> </v>
      </c>
      <c r="O21" s="404" t="str">
        <f t="shared" si="21"/>
        <v xml:space="preserve"> </v>
      </c>
      <c r="P21" s="401" t="str">
        <f t="shared" si="22"/>
        <v xml:space="preserve"> </v>
      </c>
      <c r="Q21" s="404" t="str">
        <f t="shared" si="23"/>
        <v xml:space="preserve"> </v>
      </c>
      <c r="R21" s="405" t="str">
        <f t="shared" si="24"/>
        <v xml:space="preserve"> </v>
      </c>
      <c r="S21" s="402" t="str">
        <f>IFERROR(VLOOKUP(C21,INGREDIENTES!$C$7:$Q$141,13,FALSE)," ")</f>
        <v xml:space="preserve"> </v>
      </c>
      <c r="T21" s="401" t="str">
        <f t="shared" si="25"/>
        <v xml:space="preserve"> </v>
      </c>
      <c r="U21" s="402" t="str">
        <f t="shared" si="26"/>
        <v xml:space="preserve"> </v>
      </c>
      <c r="V21" s="404" t="str">
        <f>IFERROR(VLOOKUP(C21,INGREDIENTES!$C$7:$Q$141,14,FALSE)," ")</f>
        <v xml:space="preserve"> </v>
      </c>
      <c r="W21" s="401" t="str">
        <f t="shared" si="27"/>
        <v xml:space="preserve"> </v>
      </c>
      <c r="X21" s="248"/>
    </row>
    <row r="22" spans="2:24" ht="15.75" customHeight="1">
      <c r="B22" s="270"/>
      <c r="C22" s="400" t="str">
        <f>IF(ANÁLISIS!B24=0," ",ANÁLISIS!B24)</f>
        <v xml:space="preserve"> </v>
      </c>
      <c r="D22" s="305" t="str">
        <f>IFERROR(VLOOKUP(C22,ANÁLISIS!$B$8:$G$29,4,FALSE)," ")</f>
        <v xml:space="preserve"> </v>
      </c>
      <c r="E22" s="401" t="str">
        <f t="shared" si="14"/>
        <v xml:space="preserve"> </v>
      </c>
      <c r="F22" s="305" t="str">
        <f>IFERROR(VLOOKUP(C22,INGREDIENTES!$C$7:$Q$141,10,FALSE)," ")</f>
        <v xml:space="preserve"> </v>
      </c>
      <c r="G22" s="401" t="str">
        <f t="shared" si="15"/>
        <v xml:space="preserve"> </v>
      </c>
      <c r="H22" s="402" t="str">
        <f t="shared" si="16"/>
        <v xml:space="preserve"> </v>
      </c>
      <c r="I22" s="401" t="str">
        <f>IFERROR(VLOOKUP(C22,INGREDIENTES!$C$7:$Q$141,11,FALSE)," ")</f>
        <v xml:space="preserve"> </v>
      </c>
      <c r="J22" s="401" t="str">
        <f t="shared" si="17"/>
        <v xml:space="preserve"> </v>
      </c>
      <c r="K22" s="402" t="str">
        <f t="shared" si="18"/>
        <v xml:space="preserve"> </v>
      </c>
      <c r="L22" s="403" t="str">
        <f>IFERROR(VLOOKUP(C22,INGREDIENTES!$C$7:$Q$141,12,FALSE)," ")</f>
        <v xml:space="preserve"> </v>
      </c>
      <c r="M22" s="401" t="str">
        <f t="shared" si="19"/>
        <v xml:space="preserve"> </v>
      </c>
      <c r="N22" s="402" t="str">
        <f t="shared" si="20"/>
        <v xml:space="preserve"> </v>
      </c>
      <c r="O22" s="404" t="str">
        <f t="shared" si="21"/>
        <v xml:space="preserve"> </v>
      </c>
      <c r="P22" s="401" t="str">
        <f t="shared" si="22"/>
        <v xml:space="preserve"> </v>
      </c>
      <c r="Q22" s="404" t="str">
        <f t="shared" si="23"/>
        <v xml:space="preserve"> </v>
      </c>
      <c r="R22" s="405" t="str">
        <f t="shared" si="24"/>
        <v xml:space="preserve"> </v>
      </c>
      <c r="S22" s="402" t="str">
        <f>IFERROR(VLOOKUP(C22,INGREDIENTES!$C$7:$Q$141,13,FALSE)," ")</f>
        <v xml:space="preserve"> </v>
      </c>
      <c r="T22" s="401" t="str">
        <f t="shared" si="25"/>
        <v xml:space="preserve"> </v>
      </c>
      <c r="U22" s="402" t="str">
        <f t="shared" si="26"/>
        <v xml:space="preserve"> </v>
      </c>
      <c r="V22" s="404" t="str">
        <f>IFERROR(VLOOKUP(C22,INGREDIENTES!$C$7:$Q$141,14,FALSE)," ")</f>
        <v xml:space="preserve"> </v>
      </c>
      <c r="W22" s="401" t="str">
        <f t="shared" si="27"/>
        <v xml:space="preserve"> </v>
      </c>
      <c r="X22" s="248"/>
    </row>
    <row r="23" spans="2:24" ht="15.75" customHeight="1">
      <c r="B23" s="270"/>
      <c r="C23" s="400" t="str">
        <f>IF(ANÁLISIS!B25=0," ",ANÁLISIS!B25)</f>
        <v xml:space="preserve"> </v>
      </c>
      <c r="D23" s="305" t="str">
        <f>IFERROR(VLOOKUP(C23,ANÁLISIS!$B$8:$G$29,4,FALSE)," ")</f>
        <v xml:space="preserve"> </v>
      </c>
      <c r="E23" s="401" t="str">
        <f t="shared" si="14"/>
        <v xml:space="preserve"> </v>
      </c>
      <c r="F23" s="305" t="str">
        <f>IFERROR(VLOOKUP(C23,INGREDIENTES!$C$7:$Q$141,10,FALSE)," ")</f>
        <v xml:space="preserve"> </v>
      </c>
      <c r="G23" s="401" t="str">
        <f t="shared" si="15"/>
        <v xml:space="preserve"> </v>
      </c>
      <c r="H23" s="402" t="str">
        <f t="shared" si="16"/>
        <v xml:space="preserve"> </v>
      </c>
      <c r="I23" s="401" t="str">
        <f>IFERROR(VLOOKUP(C23,INGREDIENTES!$C$7:$Q$141,11,FALSE)," ")</f>
        <v xml:space="preserve"> </v>
      </c>
      <c r="J23" s="401" t="str">
        <f t="shared" si="17"/>
        <v xml:space="preserve"> </v>
      </c>
      <c r="K23" s="402" t="str">
        <f t="shared" si="18"/>
        <v xml:space="preserve"> </v>
      </c>
      <c r="L23" s="403" t="str">
        <f>IFERROR(VLOOKUP(C23,INGREDIENTES!$C$7:$Q$141,12,FALSE)," ")</f>
        <v xml:space="preserve"> </v>
      </c>
      <c r="M23" s="401" t="str">
        <f t="shared" si="19"/>
        <v xml:space="preserve"> </v>
      </c>
      <c r="N23" s="402" t="str">
        <f t="shared" si="20"/>
        <v xml:space="preserve"> </v>
      </c>
      <c r="O23" s="404" t="str">
        <f t="shared" si="21"/>
        <v xml:space="preserve"> </v>
      </c>
      <c r="P23" s="401" t="str">
        <f t="shared" si="22"/>
        <v xml:space="preserve"> </v>
      </c>
      <c r="Q23" s="404" t="str">
        <f t="shared" si="23"/>
        <v xml:space="preserve"> </v>
      </c>
      <c r="R23" s="405" t="str">
        <f t="shared" si="24"/>
        <v xml:space="preserve"> </v>
      </c>
      <c r="S23" s="402" t="str">
        <f>IFERROR(VLOOKUP(C23,INGREDIENTES!$C$7:$Q$141,13,FALSE)," ")</f>
        <v xml:space="preserve"> </v>
      </c>
      <c r="T23" s="401" t="str">
        <f t="shared" si="25"/>
        <v xml:space="preserve"> </v>
      </c>
      <c r="U23" s="402" t="str">
        <f t="shared" si="26"/>
        <v xml:space="preserve"> </v>
      </c>
      <c r="V23" s="404" t="str">
        <f>IFERROR(VLOOKUP(C23,INGREDIENTES!$C$7:$Q$141,14,FALSE)," ")</f>
        <v xml:space="preserve"> </v>
      </c>
      <c r="W23" s="401" t="str">
        <f t="shared" si="27"/>
        <v xml:space="preserve"> </v>
      </c>
      <c r="X23" s="248"/>
    </row>
    <row r="24" spans="2:24" ht="15.75" customHeight="1">
      <c r="B24" s="270"/>
      <c r="C24" s="400" t="str">
        <f>IF(ANÁLISIS!B26=0," ",ANÁLISIS!B26)</f>
        <v xml:space="preserve"> </v>
      </c>
      <c r="D24" s="305" t="str">
        <f>IFERROR(VLOOKUP(C24,ANÁLISIS!$B$8:$G$29,4,FALSE)," ")</f>
        <v xml:space="preserve"> </v>
      </c>
      <c r="E24" s="401" t="str">
        <f t="shared" si="14"/>
        <v xml:space="preserve"> </v>
      </c>
      <c r="F24" s="305" t="str">
        <f>IFERROR(VLOOKUP(C24,INGREDIENTES!$C$7:$Q$141,10,FALSE)," ")</f>
        <v xml:space="preserve"> </v>
      </c>
      <c r="G24" s="401" t="str">
        <f t="shared" si="15"/>
        <v xml:space="preserve"> </v>
      </c>
      <c r="H24" s="402" t="str">
        <f t="shared" si="16"/>
        <v xml:space="preserve"> </v>
      </c>
      <c r="I24" s="401" t="str">
        <f>IFERROR(VLOOKUP(C24,INGREDIENTES!$C$7:$Q$141,11,FALSE)," ")</f>
        <v xml:space="preserve"> </v>
      </c>
      <c r="J24" s="401" t="str">
        <f t="shared" si="17"/>
        <v xml:space="preserve"> </v>
      </c>
      <c r="K24" s="402" t="str">
        <f t="shared" si="18"/>
        <v xml:space="preserve"> </v>
      </c>
      <c r="L24" s="403" t="str">
        <f>IFERROR(VLOOKUP(C24,INGREDIENTES!$C$7:$Q$141,12,FALSE)," ")</f>
        <v xml:space="preserve"> </v>
      </c>
      <c r="M24" s="401" t="str">
        <f t="shared" si="19"/>
        <v xml:space="preserve"> </v>
      </c>
      <c r="N24" s="402" t="str">
        <f t="shared" si="20"/>
        <v xml:space="preserve"> </v>
      </c>
      <c r="O24" s="404" t="str">
        <f t="shared" si="21"/>
        <v xml:space="preserve"> </v>
      </c>
      <c r="P24" s="401" t="str">
        <f t="shared" si="22"/>
        <v xml:space="preserve"> </v>
      </c>
      <c r="Q24" s="404" t="str">
        <f t="shared" si="23"/>
        <v xml:space="preserve"> </v>
      </c>
      <c r="R24" s="405" t="str">
        <f t="shared" si="24"/>
        <v xml:space="preserve"> </v>
      </c>
      <c r="S24" s="402" t="str">
        <f>IFERROR(VLOOKUP(C24,INGREDIENTES!$C$7:$Q$141,13,FALSE)," ")</f>
        <v xml:space="preserve"> </v>
      </c>
      <c r="T24" s="401" t="str">
        <f t="shared" si="25"/>
        <v xml:space="preserve"> </v>
      </c>
      <c r="U24" s="402" t="str">
        <f t="shared" si="26"/>
        <v xml:space="preserve"> </v>
      </c>
      <c r="V24" s="404" t="str">
        <f>IFERROR(VLOOKUP(C24,INGREDIENTES!$C$7:$Q$141,14,FALSE)," ")</f>
        <v xml:space="preserve"> </v>
      </c>
      <c r="W24" s="401" t="str">
        <f t="shared" si="27"/>
        <v xml:space="preserve"> </v>
      </c>
      <c r="X24" s="248"/>
    </row>
    <row r="25" spans="2:24" ht="15.75" customHeight="1">
      <c r="B25" s="270"/>
      <c r="C25" s="400" t="str">
        <f>IF(ANÁLISIS!B27=0," ",ANÁLISIS!B27)</f>
        <v xml:space="preserve"> </v>
      </c>
      <c r="D25" s="305" t="str">
        <f>IFERROR(VLOOKUP(C25,ANÁLISIS!$B$8:$G$29,4,FALSE)," ")</f>
        <v xml:space="preserve"> </v>
      </c>
      <c r="E25" s="401" t="str">
        <f t="shared" si="14"/>
        <v xml:space="preserve"> </v>
      </c>
      <c r="F25" s="305" t="str">
        <f>IFERROR(VLOOKUP(C25,INGREDIENTES!$C$7:$Q$141,10,FALSE)," ")</f>
        <v xml:space="preserve"> </v>
      </c>
      <c r="G25" s="401" t="str">
        <f t="shared" si="15"/>
        <v xml:space="preserve"> </v>
      </c>
      <c r="H25" s="402" t="str">
        <f t="shared" si="16"/>
        <v xml:space="preserve"> </v>
      </c>
      <c r="I25" s="401" t="str">
        <f>IFERROR(VLOOKUP(C25,INGREDIENTES!$C$7:$Q$141,11,FALSE)," ")</f>
        <v xml:space="preserve"> </v>
      </c>
      <c r="J25" s="401" t="str">
        <f t="shared" si="17"/>
        <v xml:space="preserve"> </v>
      </c>
      <c r="K25" s="402" t="str">
        <f t="shared" si="18"/>
        <v xml:space="preserve"> </v>
      </c>
      <c r="L25" s="403" t="str">
        <f>IFERROR(VLOOKUP(C25,INGREDIENTES!$C$7:$Q$141,12,FALSE)," ")</f>
        <v xml:space="preserve"> </v>
      </c>
      <c r="M25" s="401" t="str">
        <f t="shared" si="19"/>
        <v xml:space="preserve"> </v>
      </c>
      <c r="N25" s="402" t="str">
        <f t="shared" si="20"/>
        <v xml:space="preserve"> </v>
      </c>
      <c r="O25" s="404" t="str">
        <f t="shared" si="21"/>
        <v xml:space="preserve"> </v>
      </c>
      <c r="P25" s="401" t="str">
        <f t="shared" si="22"/>
        <v xml:space="preserve"> </v>
      </c>
      <c r="Q25" s="404" t="str">
        <f t="shared" si="23"/>
        <v xml:space="preserve"> </v>
      </c>
      <c r="R25" s="405" t="str">
        <f t="shared" si="24"/>
        <v xml:space="preserve"> </v>
      </c>
      <c r="S25" s="402" t="str">
        <f>IFERROR(VLOOKUP(C25,INGREDIENTES!$C$7:$Q$141,13,FALSE)," ")</f>
        <v xml:space="preserve"> </v>
      </c>
      <c r="T25" s="401" t="str">
        <f t="shared" si="25"/>
        <v xml:space="preserve"> </v>
      </c>
      <c r="U25" s="402" t="str">
        <f t="shared" si="26"/>
        <v xml:space="preserve"> </v>
      </c>
      <c r="V25" s="404" t="str">
        <f>IFERROR(VLOOKUP(C25,INGREDIENTES!$C$7:$Q$141,14,FALSE)," ")</f>
        <v xml:space="preserve"> </v>
      </c>
      <c r="W25" s="401" t="str">
        <f t="shared" si="27"/>
        <v xml:space="preserve"> </v>
      </c>
      <c r="X25" s="248"/>
    </row>
    <row r="26" spans="2:24" ht="15.75" customHeight="1">
      <c r="B26" s="270"/>
      <c r="C26" s="400" t="str">
        <f>IF(ANÁLISIS!B28=0," ",ANÁLISIS!B28)</f>
        <v xml:space="preserve"> </v>
      </c>
      <c r="D26" s="305" t="str">
        <f>IFERROR(VLOOKUP(C26,ANÁLISIS!$B$8:$G$29,4,FALSE)," ")</f>
        <v xml:space="preserve"> </v>
      </c>
      <c r="E26" s="401" t="str">
        <f t="shared" si="14"/>
        <v xml:space="preserve"> </v>
      </c>
      <c r="F26" s="305" t="str">
        <f>IFERROR(VLOOKUP(C26,INGREDIENTES!$C$7:$Q$141,10,FALSE)," ")</f>
        <v xml:space="preserve"> </v>
      </c>
      <c r="G26" s="401" t="str">
        <f t="shared" si="15"/>
        <v xml:space="preserve"> </v>
      </c>
      <c r="H26" s="402" t="str">
        <f t="shared" si="16"/>
        <v xml:space="preserve"> </v>
      </c>
      <c r="I26" s="401" t="str">
        <f>IFERROR(VLOOKUP(C26,INGREDIENTES!$C$7:$Q$141,11,FALSE)," ")</f>
        <v xml:space="preserve"> </v>
      </c>
      <c r="J26" s="401" t="str">
        <f t="shared" si="17"/>
        <v xml:space="preserve"> </v>
      </c>
      <c r="K26" s="402" t="str">
        <f t="shared" si="18"/>
        <v xml:space="preserve"> </v>
      </c>
      <c r="L26" s="403" t="str">
        <f>IFERROR(VLOOKUP(C26,INGREDIENTES!$C$7:$Q$141,12,FALSE)," ")</f>
        <v xml:space="preserve"> </v>
      </c>
      <c r="M26" s="401" t="str">
        <f t="shared" si="19"/>
        <v xml:space="preserve"> </v>
      </c>
      <c r="N26" s="402" t="str">
        <f t="shared" si="20"/>
        <v xml:space="preserve"> </v>
      </c>
      <c r="O26" s="404" t="str">
        <f t="shared" si="21"/>
        <v xml:space="preserve"> </v>
      </c>
      <c r="P26" s="401" t="str">
        <f t="shared" si="22"/>
        <v xml:space="preserve"> </v>
      </c>
      <c r="Q26" s="404" t="str">
        <f t="shared" si="23"/>
        <v xml:space="preserve"> </v>
      </c>
      <c r="R26" s="405" t="str">
        <f t="shared" si="24"/>
        <v xml:space="preserve"> </v>
      </c>
      <c r="S26" s="402" t="str">
        <f>IFERROR(VLOOKUP(C26,INGREDIENTES!$C$7:$Q$141,13,FALSE)," ")</f>
        <v xml:space="preserve"> </v>
      </c>
      <c r="T26" s="401" t="str">
        <f t="shared" si="25"/>
        <v xml:space="preserve"> </v>
      </c>
      <c r="U26" s="402" t="str">
        <f t="shared" si="26"/>
        <v xml:space="preserve"> </v>
      </c>
      <c r="V26" s="404" t="str">
        <f>IFERROR(VLOOKUP(C26,INGREDIENTES!$C$7:$Q$141,14,FALSE)," ")</f>
        <v xml:space="preserve"> </v>
      </c>
      <c r="W26" s="401" t="str">
        <f t="shared" si="27"/>
        <v xml:space="preserve"> </v>
      </c>
      <c r="X26" s="248"/>
    </row>
    <row r="27" spans="2:24" ht="15.75" customHeight="1">
      <c r="B27" s="270"/>
      <c r="C27" s="400" t="str">
        <f>IF(ANÁLISIS!B29=0," ",ANÁLISIS!B29)</f>
        <v xml:space="preserve"> </v>
      </c>
      <c r="D27" s="305" t="str">
        <f>IFERROR(VLOOKUP(C27,ANÁLISIS!$B$8:$G$29,4,FALSE)," ")</f>
        <v xml:space="preserve"> </v>
      </c>
      <c r="E27" s="401" t="str">
        <f t="shared" si="14"/>
        <v xml:space="preserve"> </v>
      </c>
      <c r="F27" s="305" t="str">
        <f>IFERROR(VLOOKUP(C27,INGREDIENTES!$C$7:$Q$141,10,FALSE)," ")</f>
        <v xml:space="preserve"> </v>
      </c>
      <c r="G27" s="401" t="str">
        <f t="shared" si="15"/>
        <v xml:space="preserve"> </v>
      </c>
      <c r="H27" s="402" t="str">
        <f t="shared" si="16"/>
        <v xml:space="preserve"> </v>
      </c>
      <c r="I27" s="401" t="str">
        <f>IFERROR(VLOOKUP(C27,INGREDIENTES!$C$7:$Q$141,11,FALSE)," ")</f>
        <v xml:space="preserve"> </v>
      </c>
      <c r="J27" s="401" t="str">
        <f t="shared" si="17"/>
        <v xml:space="preserve"> </v>
      </c>
      <c r="K27" s="402" t="str">
        <f t="shared" si="18"/>
        <v xml:space="preserve"> </v>
      </c>
      <c r="L27" s="403" t="str">
        <f>IFERROR(VLOOKUP(C27,INGREDIENTES!$C$7:$Q$141,12,FALSE)," ")</f>
        <v xml:space="preserve"> </v>
      </c>
      <c r="M27" s="401" t="str">
        <f t="shared" si="19"/>
        <v xml:space="preserve"> </v>
      </c>
      <c r="N27" s="402" t="str">
        <f t="shared" si="20"/>
        <v xml:space="preserve"> </v>
      </c>
      <c r="O27" s="404" t="str">
        <f t="shared" si="21"/>
        <v xml:space="preserve"> </v>
      </c>
      <c r="P27" s="401" t="str">
        <f t="shared" si="22"/>
        <v xml:space="preserve"> </v>
      </c>
      <c r="Q27" s="404" t="str">
        <f t="shared" si="23"/>
        <v xml:space="preserve"> </v>
      </c>
      <c r="R27" s="405" t="str">
        <f t="shared" si="24"/>
        <v xml:space="preserve"> </v>
      </c>
      <c r="S27" s="402" t="str">
        <f>IFERROR(VLOOKUP(C27,INGREDIENTES!$C$7:$Q$141,13,FALSE)," ")</f>
        <v xml:space="preserve"> </v>
      </c>
      <c r="T27" s="401" t="str">
        <f t="shared" si="25"/>
        <v xml:space="preserve"> </v>
      </c>
      <c r="U27" s="402" t="str">
        <f t="shared" si="26"/>
        <v xml:space="preserve"> </v>
      </c>
      <c r="V27" s="404" t="str">
        <f>IFERROR(VLOOKUP(C27,INGREDIENTES!$C$7:$Q$141,14,FALSE)," ")</f>
        <v xml:space="preserve"> </v>
      </c>
      <c r="W27" s="401" t="str">
        <f t="shared" si="27"/>
        <v xml:space="preserve"> </v>
      </c>
      <c r="X27" s="248"/>
    </row>
    <row r="28" spans="2:24" ht="15.75" customHeight="1">
      <c r="B28" s="270"/>
      <c r="C28" s="400" t="str">
        <f>IF(ANÁLISIS!B30=0," ",ANÁLISIS!B30)</f>
        <v xml:space="preserve"> </v>
      </c>
      <c r="D28" s="305" t="str">
        <f>IFERROR(VLOOKUP(C28,ANÁLISIS!$B$8:$G$29,4,FALSE)," ")</f>
        <v xml:space="preserve"> </v>
      </c>
      <c r="E28" s="401" t="str">
        <f t="shared" si="14"/>
        <v xml:space="preserve"> </v>
      </c>
      <c r="F28" s="305" t="str">
        <f>IFERROR(VLOOKUP(C28,INGREDIENTES!$C$7:$Q$141,10,FALSE)," ")</f>
        <v xml:space="preserve"> </v>
      </c>
      <c r="G28" s="401" t="str">
        <f t="shared" si="15"/>
        <v xml:space="preserve"> </v>
      </c>
      <c r="H28" s="402" t="str">
        <f t="shared" si="16"/>
        <v xml:space="preserve"> </v>
      </c>
      <c r="I28" s="401" t="str">
        <f>IFERROR(VLOOKUP(C28,INGREDIENTES!$C$7:$Q$141,11,FALSE)," ")</f>
        <v xml:space="preserve"> </v>
      </c>
      <c r="J28" s="401" t="str">
        <f t="shared" si="17"/>
        <v xml:space="preserve"> </v>
      </c>
      <c r="K28" s="402" t="str">
        <f t="shared" si="18"/>
        <v xml:space="preserve"> </v>
      </c>
      <c r="L28" s="403" t="str">
        <f>IFERROR(VLOOKUP(C28,INGREDIENTES!$C$7:$Q$141,12,FALSE)," ")</f>
        <v xml:space="preserve"> </v>
      </c>
      <c r="M28" s="401" t="str">
        <f t="shared" si="19"/>
        <v xml:space="preserve"> </v>
      </c>
      <c r="N28" s="402" t="str">
        <f t="shared" si="20"/>
        <v xml:space="preserve"> </v>
      </c>
      <c r="O28" s="404" t="str">
        <f t="shared" si="21"/>
        <v xml:space="preserve"> </v>
      </c>
      <c r="P28" s="401" t="str">
        <f t="shared" si="22"/>
        <v xml:space="preserve"> </v>
      </c>
      <c r="Q28" s="404" t="str">
        <f t="shared" si="23"/>
        <v xml:space="preserve"> </v>
      </c>
      <c r="R28" s="405" t="str">
        <f t="shared" si="24"/>
        <v xml:space="preserve"> </v>
      </c>
      <c r="S28" s="402" t="str">
        <f>IFERROR(VLOOKUP(C28,INGREDIENTES!$C$7:$Q$141,13,FALSE)," ")</f>
        <v xml:space="preserve"> </v>
      </c>
      <c r="T28" s="401" t="str">
        <f t="shared" si="25"/>
        <v xml:space="preserve"> </v>
      </c>
      <c r="U28" s="402" t="str">
        <f t="shared" si="26"/>
        <v xml:space="preserve"> </v>
      </c>
      <c r="V28" s="404" t="str">
        <f>IFERROR(VLOOKUP(C28,INGREDIENTES!$C$7:$Q$141,14,FALSE)," ")</f>
        <v xml:space="preserve"> </v>
      </c>
      <c r="W28" s="401" t="str">
        <f t="shared" si="27"/>
        <v xml:space="preserve"> </v>
      </c>
      <c r="X28" s="248"/>
    </row>
    <row r="29" spans="2:24" ht="15.75" customHeight="1">
      <c r="B29" s="270"/>
      <c r="C29" s="400" t="str">
        <f>IF(ANÁLISIS!B31=0," ",ANÁLISIS!B31)</f>
        <v xml:space="preserve"> </v>
      </c>
      <c r="D29" s="305" t="str">
        <f>IFERROR(VLOOKUP(C29,ANÁLISIS!$B$8:$G$29,4,FALSE)," ")</f>
        <v xml:space="preserve"> </v>
      </c>
      <c r="E29" s="401" t="str">
        <f t="shared" si="14"/>
        <v xml:space="preserve"> </v>
      </c>
      <c r="F29" s="305" t="str">
        <f>IFERROR(VLOOKUP(C29,INGREDIENTES!$C$7:$Q$141,10,FALSE)," ")</f>
        <v xml:space="preserve"> </v>
      </c>
      <c r="G29" s="401" t="str">
        <f t="shared" si="15"/>
        <v xml:space="preserve"> </v>
      </c>
      <c r="H29" s="402" t="str">
        <f t="shared" si="16"/>
        <v xml:space="preserve"> </v>
      </c>
      <c r="I29" s="401" t="str">
        <f>IFERROR(VLOOKUP(C29,INGREDIENTES!$C$7:$Q$141,11,FALSE)," ")</f>
        <v xml:space="preserve"> </v>
      </c>
      <c r="J29" s="401" t="str">
        <f t="shared" si="17"/>
        <v xml:space="preserve"> </v>
      </c>
      <c r="K29" s="402" t="str">
        <f t="shared" si="18"/>
        <v xml:space="preserve"> </v>
      </c>
      <c r="L29" s="403" t="str">
        <f>IFERROR(VLOOKUP(C29,INGREDIENTES!$C$7:$Q$141,12,FALSE)," ")</f>
        <v xml:space="preserve"> </v>
      </c>
      <c r="M29" s="401" t="str">
        <f t="shared" si="19"/>
        <v xml:space="preserve"> </v>
      </c>
      <c r="N29" s="402" t="str">
        <f t="shared" si="20"/>
        <v xml:space="preserve"> </v>
      </c>
      <c r="O29" s="404" t="str">
        <f t="shared" si="21"/>
        <v xml:space="preserve"> </v>
      </c>
      <c r="P29" s="401" t="str">
        <f t="shared" si="22"/>
        <v xml:space="preserve"> </v>
      </c>
      <c r="Q29" s="404" t="str">
        <f t="shared" si="23"/>
        <v xml:space="preserve"> </v>
      </c>
      <c r="R29" s="405" t="str">
        <f t="shared" si="24"/>
        <v xml:space="preserve"> </v>
      </c>
      <c r="S29" s="402" t="str">
        <f>IFERROR(VLOOKUP(C29,INGREDIENTES!$C$7:$Q$141,13,FALSE)," ")</f>
        <v xml:space="preserve"> </v>
      </c>
      <c r="T29" s="401" t="str">
        <f t="shared" si="25"/>
        <v xml:space="preserve"> </v>
      </c>
      <c r="U29" s="402" t="str">
        <f t="shared" si="26"/>
        <v xml:space="preserve"> </v>
      </c>
      <c r="V29" s="404" t="str">
        <f>IFERROR(VLOOKUP(C29,INGREDIENTES!$C$7:$Q$141,14,FALSE)," ")</f>
        <v xml:space="preserve"> </v>
      </c>
      <c r="W29" s="401" t="str">
        <f t="shared" si="27"/>
        <v xml:space="preserve"> </v>
      </c>
      <c r="X29" s="248"/>
    </row>
    <row r="30" spans="2:24" ht="15.75" customHeight="1">
      <c r="B30" s="270"/>
      <c r="C30" s="400" t="str">
        <f>IF(ANÁLISIS!B32=0," ",ANÁLISIS!B32)</f>
        <v xml:space="preserve"> </v>
      </c>
      <c r="D30" s="305" t="str">
        <f>IFERROR(VLOOKUP(C30,ANÁLISIS!$B$8:$G$29,4,FALSE)," ")</f>
        <v xml:space="preserve"> </v>
      </c>
      <c r="E30" s="401" t="str">
        <f t="shared" si="14"/>
        <v xml:space="preserve"> </v>
      </c>
      <c r="F30" s="305" t="str">
        <f>IFERROR(VLOOKUP(C30,INGREDIENTES!$C$7:$Q$141,10,FALSE)," ")</f>
        <v xml:space="preserve"> </v>
      </c>
      <c r="G30" s="401" t="str">
        <f t="shared" si="15"/>
        <v xml:space="preserve"> </v>
      </c>
      <c r="H30" s="402" t="str">
        <f t="shared" si="16"/>
        <v xml:space="preserve"> </v>
      </c>
      <c r="I30" s="401" t="str">
        <f>IFERROR(VLOOKUP(C30,INGREDIENTES!$C$7:$Q$141,11,FALSE)," ")</f>
        <v xml:space="preserve"> </v>
      </c>
      <c r="J30" s="401" t="str">
        <f t="shared" si="17"/>
        <v xml:space="preserve"> </v>
      </c>
      <c r="K30" s="402" t="str">
        <f t="shared" si="18"/>
        <v xml:space="preserve"> </v>
      </c>
      <c r="L30" s="403" t="str">
        <f>IFERROR(VLOOKUP(C30,INGREDIENTES!$C$7:$Q$141,12,FALSE)," ")</f>
        <v xml:space="preserve"> </v>
      </c>
      <c r="M30" s="401" t="str">
        <f t="shared" si="19"/>
        <v xml:space="preserve"> </v>
      </c>
      <c r="N30" s="402" t="str">
        <f t="shared" si="20"/>
        <v xml:space="preserve"> </v>
      </c>
      <c r="O30" s="404" t="str">
        <f t="shared" si="21"/>
        <v xml:space="preserve"> </v>
      </c>
      <c r="P30" s="401" t="str">
        <f t="shared" si="22"/>
        <v xml:space="preserve"> </v>
      </c>
      <c r="Q30" s="404" t="str">
        <f t="shared" si="23"/>
        <v xml:space="preserve"> </v>
      </c>
      <c r="R30" s="405" t="str">
        <f t="shared" si="24"/>
        <v xml:space="preserve"> </v>
      </c>
      <c r="S30" s="402" t="str">
        <f>IFERROR(VLOOKUP(C30,INGREDIENTES!$C$7:$Q$141,13,FALSE)," ")</f>
        <v xml:space="preserve"> </v>
      </c>
      <c r="T30" s="401" t="str">
        <f t="shared" si="25"/>
        <v xml:space="preserve"> </v>
      </c>
      <c r="U30" s="402" t="str">
        <f t="shared" si="26"/>
        <v xml:space="preserve"> </v>
      </c>
      <c r="V30" s="404" t="str">
        <f>IFERROR(VLOOKUP(C30,INGREDIENTES!$C$7:$Q$141,14,FALSE)," ")</f>
        <v xml:space="preserve"> </v>
      </c>
      <c r="W30" s="401" t="str">
        <f t="shared" si="27"/>
        <v xml:space="preserve"> </v>
      </c>
      <c r="X30" s="248"/>
    </row>
    <row r="31" spans="2:24" ht="15.75" customHeight="1">
      <c r="B31" s="270"/>
      <c r="C31" s="400" t="str">
        <f>IF(ANÁLISIS!B33=0," ",ANÁLISIS!B33)</f>
        <v xml:space="preserve"> </v>
      </c>
      <c r="D31" s="305" t="str">
        <f>IFERROR(VLOOKUP(C31,ANÁLISIS!$B$8:$G$29,4,FALSE)," ")</f>
        <v xml:space="preserve"> </v>
      </c>
      <c r="E31" s="401" t="str">
        <f t="shared" si="14"/>
        <v xml:space="preserve"> </v>
      </c>
      <c r="F31" s="305" t="str">
        <f>IFERROR(VLOOKUP(C31,INGREDIENTES!$C$7:$Q$141,10,FALSE)," ")</f>
        <v xml:space="preserve"> </v>
      </c>
      <c r="G31" s="401" t="str">
        <f t="shared" si="15"/>
        <v xml:space="preserve"> </v>
      </c>
      <c r="H31" s="402" t="str">
        <f t="shared" si="16"/>
        <v xml:space="preserve"> </v>
      </c>
      <c r="I31" s="401" t="str">
        <f>IFERROR(VLOOKUP(C31,INGREDIENTES!$C$7:$Q$141,11,FALSE)," ")</f>
        <v xml:space="preserve"> </v>
      </c>
      <c r="J31" s="401" t="str">
        <f t="shared" si="17"/>
        <v xml:space="preserve"> </v>
      </c>
      <c r="K31" s="402" t="str">
        <f t="shared" si="18"/>
        <v xml:space="preserve"> </v>
      </c>
      <c r="L31" s="403" t="str">
        <f>IFERROR(VLOOKUP(C31,INGREDIENTES!$C$7:$Q$141,12,FALSE)," ")</f>
        <v xml:space="preserve"> </v>
      </c>
      <c r="M31" s="401" t="str">
        <f t="shared" si="19"/>
        <v xml:space="preserve"> </v>
      </c>
      <c r="N31" s="402" t="str">
        <f t="shared" si="20"/>
        <v xml:space="preserve"> </v>
      </c>
      <c r="O31" s="404" t="str">
        <f t="shared" si="21"/>
        <v xml:space="preserve"> </v>
      </c>
      <c r="P31" s="401" t="str">
        <f t="shared" si="22"/>
        <v xml:space="preserve"> </v>
      </c>
      <c r="Q31" s="404" t="str">
        <f t="shared" si="23"/>
        <v xml:space="preserve"> </v>
      </c>
      <c r="R31" s="405" t="str">
        <f t="shared" si="24"/>
        <v xml:space="preserve"> </v>
      </c>
      <c r="S31" s="402" t="str">
        <f>IFERROR(VLOOKUP(C31,INGREDIENTES!$C$7:$Q$141,13,FALSE)," ")</f>
        <v xml:space="preserve"> </v>
      </c>
      <c r="T31" s="401" t="str">
        <f t="shared" si="25"/>
        <v xml:space="preserve"> </v>
      </c>
      <c r="U31" s="402" t="str">
        <f t="shared" si="26"/>
        <v xml:space="preserve"> </v>
      </c>
      <c r="V31" s="404" t="str">
        <f>IFERROR(VLOOKUP(C31,INGREDIENTES!$C$7:$Q$141,14,FALSE)," ")</f>
        <v xml:space="preserve"> </v>
      </c>
      <c r="W31" s="401" t="str">
        <f t="shared" si="27"/>
        <v xml:space="preserve"> </v>
      </c>
      <c r="X31" s="248"/>
    </row>
    <row r="32" spans="2:24" ht="15.75" thickBot="1">
      <c r="D32" s="249"/>
      <c r="E32" s="250"/>
      <c r="G32" s="251"/>
      <c r="H32" s="252"/>
      <c r="J32" s="250"/>
      <c r="K32" s="252"/>
      <c r="M32" s="250"/>
      <c r="N32" s="250"/>
      <c r="P32" s="250"/>
      <c r="R32" s="252"/>
      <c r="T32" s="250"/>
      <c r="U32" s="252"/>
      <c r="W32" s="250"/>
      <c r="X32" s="248"/>
    </row>
    <row r="33" spans="1:24">
      <c r="A33" s="253"/>
      <c r="B33" s="554" t="s">
        <v>344</v>
      </c>
      <c r="C33" s="555"/>
      <c r="D33" s="254">
        <f>SUM(D6:D19)</f>
        <v>0</v>
      </c>
      <c r="E33" s="255">
        <f>SUM(E6:E19)</f>
        <v>0</v>
      </c>
      <c r="F33" s="256"/>
      <c r="G33" s="257">
        <f>SUM(G6:G19)</f>
        <v>0</v>
      </c>
      <c r="H33" s="258">
        <f>SUM(H6:H19)</f>
        <v>0</v>
      </c>
      <c r="I33" s="259"/>
      <c r="J33" s="257">
        <f>SUM(J6:J19)</f>
        <v>0</v>
      </c>
      <c r="K33" s="258">
        <f>SUM(K6:K19)</f>
        <v>0</v>
      </c>
      <c r="L33" s="259"/>
      <c r="M33" s="260">
        <f>SUM(M6:M19)</f>
        <v>0</v>
      </c>
      <c r="N33" s="261">
        <f>SUM(N6:N19)</f>
        <v>0</v>
      </c>
      <c r="O33" s="262"/>
      <c r="P33" s="263">
        <f>SUM(P6:P19)</f>
        <v>0</v>
      </c>
      <c r="Q33" s="264">
        <f>P33*0</f>
        <v>0</v>
      </c>
      <c r="R33" s="265">
        <f>SUM(R6:R19)</f>
        <v>0</v>
      </c>
      <c r="S33" s="266"/>
      <c r="T33" s="267">
        <f>SUM(T6:T19)</f>
        <v>0</v>
      </c>
      <c r="U33" s="261">
        <f>T33*2</f>
        <v>0</v>
      </c>
      <c r="V33" s="264"/>
      <c r="W33" s="268">
        <f>SUM(W6:W19)</f>
        <v>0</v>
      </c>
      <c r="X33" s="269"/>
    </row>
    <row r="34" spans="1:24" ht="15.75">
      <c r="B34" s="556"/>
      <c r="C34" s="270"/>
      <c r="D34" s="271"/>
      <c r="E34" s="272"/>
      <c r="I34" s="273"/>
      <c r="J34" s="274"/>
      <c r="K34" s="274"/>
      <c r="L34" s="274"/>
      <c r="M34" s="275">
        <v>1</v>
      </c>
      <c r="N34" s="557" t="s">
        <v>345</v>
      </c>
      <c r="O34" s="558"/>
      <c r="P34" s="558"/>
      <c r="Q34" s="558"/>
      <c r="R34" s="276">
        <v>2000</v>
      </c>
      <c r="S34" s="277" t="s">
        <v>346</v>
      </c>
      <c r="T34" s="577" t="s">
        <v>347</v>
      </c>
      <c r="U34" s="578"/>
      <c r="V34" s="583" t="s">
        <v>348</v>
      </c>
      <c r="W34" s="584"/>
      <c r="X34" s="278"/>
    </row>
    <row r="35" spans="1:24" ht="45">
      <c r="B35" s="556"/>
      <c r="C35" s="270"/>
      <c r="D35" s="271"/>
      <c r="E35" s="272"/>
      <c r="I35" s="273"/>
      <c r="J35" s="274"/>
      <c r="K35" s="274"/>
      <c r="L35" s="274"/>
      <c r="M35" s="279" t="str">
        <f>IF(Q35="Desayuno", "20%", IF(Q35= "Snack", "15%", IF(Q35= "Plato fuerte", "25%", "25%")))</f>
        <v>25%</v>
      </c>
      <c r="N35" s="545" t="s">
        <v>349</v>
      </c>
      <c r="O35" s="546"/>
      <c r="P35" s="546"/>
      <c r="Q35" s="280" t="str">
        <f>ANÁLISIS!F4</f>
        <v>Despliegue la lista y seleccione</v>
      </c>
      <c r="R35" s="281">
        <f>M35*R33</f>
        <v>0</v>
      </c>
      <c r="S35" s="282" t="s">
        <v>346</v>
      </c>
      <c r="T35" s="579"/>
      <c r="U35" s="580"/>
      <c r="V35" s="585"/>
      <c r="W35" s="586"/>
      <c r="X35" s="278"/>
    </row>
    <row r="36" spans="1:24" ht="45">
      <c r="B36" s="556"/>
      <c r="C36" s="270"/>
      <c r="D36" s="271"/>
      <c r="E36" s="272"/>
      <c r="I36" s="273"/>
      <c r="J36" s="274"/>
      <c r="K36" s="274"/>
      <c r="L36" s="274"/>
      <c r="M36" s="279" t="str">
        <f>IF(Q36="Desayuno", "25%", IF(Q36= "Snack", "17%", IF(Q36= "Plato fuerte", "30%", "30%")))</f>
        <v>30%</v>
      </c>
      <c r="N36" s="595" t="s">
        <v>350</v>
      </c>
      <c r="O36" s="596"/>
      <c r="P36" s="596"/>
      <c r="Q36" s="280" t="str">
        <f>ANÁLISIS!F4</f>
        <v>Despliegue la lista y seleccione</v>
      </c>
      <c r="R36" s="281">
        <f>M36*R34</f>
        <v>600</v>
      </c>
      <c r="S36" s="282" t="s">
        <v>346</v>
      </c>
      <c r="T36" s="579"/>
      <c r="U36" s="580"/>
      <c r="V36" s="585"/>
      <c r="W36" s="586"/>
      <c r="X36" s="278"/>
    </row>
    <row r="37" spans="1:24" ht="16.5" thickBot="1">
      <c r="B37" s="556"/>
      <c r="C37" s="270"/>
      <c r="D37" s="271"/>
      <c r="E37" s="272"/>
      <c r="I37" s="273"/>
      <c r="J37" s="274"/>
      <c r="K37" s="274"/>
      <c r="L37" s="274"/>
      <c r="M37" s="283">
        <f>R37*M34/R34</f>
        <v>0</v>
      </c>
      <c r="N37" s="542" t="s">
        <v>351</v>
      </c>
      <c r="O37" s="543"/>
      <c r="P37" s="543"/>
      <c r="Q37" s="544"/>
      <c r="R37" s="284">
        <f>R38/4</f>
        <v>0</v>
      </c>
      <c r="S37" s="285" t="s">
        <v>346</v>
      </c>
      <c r="T37" s="579"/>
      <c r="U37" s="580"/>
      <c r="V37" s="585"/>
      <c r="W37" s="586"/>
      <c r="X37" s="278"/>
    </row>
    <row r="38" spans="1:24" ht="24" customHeight="1" thickBot="1">
      <c r="B38" s="556"/>
      <c r="C38" s="270"/>
      <c r="D38" s="271"/>
      <c r="E38" s="272"/>
      <c r="I38" s="273"/>
      <c r="J38" s="274"/>
      <c r="K38" s="274"/>
      <c r="L38" s="274"/>
      <c r="M38" s="283"/>
      <c r="N38" s="589" t="s">
        <v>352</v>
      </c>
      <c r="O38" s="590"/>
      <c r="P38" s="590"/>
      <c r="Q38" s="591"/>
      <c r="R38" s="284">
        <f>R33</f>
        <v>0</v>
      </c>
      <c r="S38" s="286" t="s">
        <v>346</v>
      </c>
      <c r="T38" s="581"/>
      <c r="U38" s="582"/>
      <c r="V38" s="587"/>
      <c r="W38" s="588"/>
      <c r="X38" s="278"/>
    </row>
    <row r="39" spans="1:24" ht="15.75" thickBot="1">
      <c r="X39" s="248"/>
    </row>
    <row r="40" spans="1:24" ht="80.099999999999994" customHeight="1">
      <c r="A40" s="246"/>
      <c r="B40" s="246"/>
      <c r="C40" s="245"/>
      <c r="D40" s="245"/>
      <c r="E40" s="247"/>
      <c r="F40" s="287"/>
      <c r="G40" s="246"/>
      <c r="H40" s="551" t="s">
        <v>353</v>
      </c>
      <c r="I40" s="552"/>
      <c r="J40" s="553"/>
      <c r="K40" s="288" t="s">
        <v>314</v>
      </c>
      <c r="L40" s="246"/>
      <c r="M40" s="551" t="s">
        <v>354</v>
      </c>
      <c r="N40" s="553"/>
      <c r="O40" s="289" t="s">
        <v>314</v>
      </c>
      <c r="P40" s="592" t="s">
        <v>355</v>
      </c>
      <c r="Q40" s="593"/>
      <c r="R40" s="594"/>
      <c r="S40" s="290"/>
      <c r="T40" s="551" t="s">
        <v>356</v>
      </c>
      <c r="U40" s="552"/>
      <c r="V40" s="552"/>
      <c r="W40" s="552"/>
      <c r="X40" s="597"/>
    </row>
    <row r="41" spans="1:24">
      <c r="F41" s="248"/>
      <c r="H41" s="559" t="s">
        <v>357</v>
      </c>
      <c r="I41" s="560"/>
      <c r="J41" s="561"/>
      <c r="K41" s="291" t="str">
        <f>IFERROR(((G33/D33)*100),"-")</f>
        <v>-</v>
      </c>
      <c r="M41" s="559" t="s">
        <v>358</v>
      </c>
      <c r="N41" s="561"/>
      <c r="O41" s="406" t="str">
        <f>IFERROR((((H33/R33)*100)/4)," ")</f>
        <v xml:space="preserve"> </v>
      </c>
      <c r="P41" s="539" t="s">
        <v>359</v>
      </c>
      <c r="Q41" s="540"/>
      <c r="R41" s="541"/>
      <c r="S41" s="292"/>
      <c r="T41" s="571" t="s">
        <v>360</v>
      </c>
      <c r="U41" s="572"/>
      <c r="V41" s="573"/>
      <c r="W41" s="293" t="s">
        <v>361</v>
      </c>
      <c r="X41" s="294"/>
    </row>
    <row r="42" spans="1:24">
      <c r="F42" s="248"/>
      <c r="H42" s="559" t="s">
        <v>362</v>
      </c>
      <c r="I42" s="560"/>
      <c r="J42" s="561"/>
      <c r="K42" s="291" t="str">
        <f>IFERROR((J33/D33)*100, "-")</f>
        <v>-</v>
      </c>
      <c r="M42" s="559" t="s">
        <v>363</v>
      </c>
      <c r="N42" s="561"/>
      <c r="O42" s="406" t="str">
        <f>IFERROR((((K33/R33)*100)/4)," ")</f>
        <v xml:space="preserve"> </v>
      </c>
      <c r="P42" s="539" t="s">
        <v>364</v>
      </c>
      <c r="Q42" s="540"/>
      <c r="R42" s="541"/>
      <c r="S42" s="292"/>
      <c r="T42" s="571" t="s">
        <v>365</v>
      </c>
      <c r="U42" s="572"/>
      <c r="V42" s="573"/>
      <c r="W42" s="293" t="s">
        <v>366</v>
      </c>
      <c r="X42" s="294"/>
    </row>
    <row r="43" spans="1:24" ht="15.75" thickBot="1">
      <c r="F43" s="248"/>
      <c r="H43" s="562" t="s">
        <v>367</v>
      </c>
      <c r="I43" s="563"/>
      <c r="J43" s="564"/>
      <c r="K43" s="291" t="str">
        <f>IFERROR((M33/D33)*100, "-")</f>
        <v>-</v>
      </c>
      <c r="M43" s="598" t="s">
        <v>368</v>
      </c>
      <c r="N43" s="599"/>
      <c r="O43" s="407" t="str">
        <f>IFERROR((((N33/R33)*100)/4)," ")</f>
        <v xml:space="preserve"> </v>
      </c>
      <c r="P43" s="548" t="s">
        <v>369</v>
      </c>
      <c r="Q43" s="549"/>
      <c r="R43" s="550"/>
      <c r="S43" s="292"/>
      <c r="T43" s="571" t="s">
        <v>370</v>
      </c>
      <c r="U43" s="572"/>
      <c r="V43" s="573"/>
      <c r="W43" s="293" t="s">
        <v>366</v>
      </c>
      <c r="X43" s="294"/>
    </row>
    <row r="44" spans="1:24" ht="15.75" thickBot="1">
      <c r="F44" s="248"/>
      <c r="H44" s="562" t="s">
        <v>371</v>
      </c>
      <c r="I44" s="563"/>
      <c r="J44" s="564"/>
      <c r="K44" s="291" t="str">
        <f>IFERROR(((P33/D33)*100), "-")</f>
        <v>-</v>
      </c>
      <c r="N44" s="295"/>
      <c r="S44" s="248"/>
      <c r="T44" s="574" t="s">
        <v>372</v>
      </c>
      <c r="U44" s="575"/>
      <c r="V44" s="576"/>
      <c r="W44" s="296" t="s">
        <v>373</v>
      </c>
      <c r="X44" s="297"/>
    </row>
    <row r="45" spans="1:24" ht="15.75" thickBot="1">
      <c r="F45" s="248"/>
      <c r="H45" s="562" t="s">
        <v>374</v>
      </c>
      <c r="I45" s="563"/>
      <c r="J45" s="564"/>
      <c r="K45" s="298" t="str">
        <f>IFERROR(((W33/1000)/D33)*100, "-")</f>
        <v>-</v>
      </c>
      <c r="M45" s="567" t="s">
        <v>375</v>
      </c>
      <c r="N45" s="568"/>
      <c r="O45" s="299">
        <f>SUM(O41:O43)</f>
        <v>0</v>
      </c>
      <c r="S45" s="300"/>
      <c r="T45" s="300"/>
      <c r="U45" s="301"/>
      <c r="V45" s="301"/>
      <c r="W45" s="302"/>
    </row>
    <row r="46" spans="1:24" ht="15.75" thickBot="1">
      <c r="F46" s="248"/>
      <c r="H46" s="565" t="s">
        <v>375</v>
      </c>
      <c r="I46" s="566"/>
      <c r="J46" s="566"/>
      <c r="K46" s="303">
        <f>IFERROR(SUM(K41:K45), "-")</f>
        <v>0</v>
      </c>
      <c r="P46" s="251"/>
      <c r="S46" s="300"/>
      <c r="T46" s="300"/>
      <c r="U46" s="301"/>
      <c r="V46" s="301"/>
      <c r="W46" s="302"/>
    </row>
    <row r="47" spans="1:24">
      <c r="F47" s="248"/>
      <c r="S47" s="300"/>
      <c r="T47" s="300"/>
      <c r="U47" s="301"/>
      <c r="V47" s="301"/>
      <c r="W47" s="302"/>
    </row>
    <row r="48" spans="1:24">
      <c r="F48" s="248"/>
      <c r="S48" s="300"/>
      <c r="T48" s="300"/>
      <c r="U48" s="301"/>
      <c r="V48" s="301"/>
      <c r="W48" s="302"/>
    </row>
    <row r="49" spans="3:23">
      <c r="F49" s="248"/>
      <c r="S49" s="300"/>
      <c r="T49" s="300"/>
      <c r="U49" s="301"/>
      <c r="V49" s="301"/>
      <c r="W49" s="302"/>
    </row>
    <row r="51" spans="3:23">
      <c r="F51" s="248"/>
      <c r="S51" s="300"/>
      <c r="T51" s="300"/>
      <c r="U51" s="301"/>
      <c r="V51" s="301"/>
      <c r="W51" s="302"/>
    </row>
    <row r="53" spans="3:23">
      <c r="F53" s="248"/>
      <c r="S53" s="300"/>
      <c r="T53" s="300"/>
      <c r="U53" s="301"/>
      <c r="V53" s="301"/>
      <c r="W53" s="302"/>
    </row>
    <row r="55" spans="3:23">
      <c r="C55" s="248"/>
      <c r="D55" s="248"/>
      <c r="E55" s="304"/>
      <c r="F55" s="248"/>
    </row>
  </sheetData>
  <mergeCells count="43">
    <mergeCell ref="T41:V41"/>
    <mergeCell ref="T42:V42"/>
    <mergeCell ref="T43:V43"/>
    <mergeCell ref="T44:V44"/>
    <mergeCell ref="F4:H4"/>
    <mergeCell ref="I4:K4"/>
    <mergeCell ref="L4:N4"/>
    <mergeCell ref="O4:Q4"/>
    <mergeCell ref="T34:U38"/>
    <mergeCell ref="V34:W38"/>
    <mergeCell ref="N38:Q38"/>
    <mergeCell ref="P40:R40"/>
    <mergeCell ref="N36:P36"/>
    <mergeCell ref="T40:X40"/>
    <mergeCell ref="H43:J43"/>
    <mergeCell ref="M43:N43"/>
    <mergeCell ref="B2:W2"/>
    <mergeCell ref="B3:B5"/>
    <mergeCell ref="C3:E4"/>
    <mergeCell ref="F3:R3"/>
    <mergeCell ref="S3:W3"/>
    <mergeCell ref="R4:R5"/>
    <mergeCell ref="S4:U4"/>
    <mergeCell ref="V4:W4"/>
    <mergeCell ref="H44:J44"/>
    <mergeCell ref="H45:J45"/>
    <mergeCell ref="H46:J46"/>
    <mergeCell ref="M45:N45"/>
    <mergeCell ref="H42:J42"/>
    <mergeCell ref="M42:N42"/>
    <mergeCell ref="P41:R41"/>
    <mergeCell ref="N37:Q37"/>
    <mergeCell ref="N35:P35"/>
    <mergeCell ref="B6:B19"/>
    <mergeCell ref="P43:R43"/>
    <mergeCell ref="H40:J40"/>
    <mergeCell ref="M40:N40"/>
    <mergeCell ref="B33:C33"/>
    <mergeCell ref="B34:B38"/>
    <mergeCell ref="N34:Q34"/>
    <mergeCell ref="P42:R42"/>
    <mergeCell ref="H41:J41"/>
    <mergeCell ref="M41:N41"/>
  </mergeCells>
  <dataValidations count="1">
    <dataValidation showInputMessage="1" showErrorMessage="1" sqref="C6:C31"/>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966"/>
  </sheetPr>
  <dimension ref="A2:Q79"/>
  <sheetViews>
    <sheetView showGridLines="0" topLeftCell="A46" zoomScaleNormal="100" workbookViewId="0">
      <selection activeCell="C131" sqref="C131"/>
    </sheetView>
  </sheetViews>
  <sheetFormatPr baseColWidth="10" defaultColWidth="11.42578125" defaultRowHeight="12.75"/>
  <cols>
    <col min="1" max="1" width="3.42578125" style="8" customWidth="1"/>
    <col min="2" max="2" width="19.85546875" style="8" customWidth="1"/>
    <col min="3" max="3" width="25.5703125" style="8" customWidth="1"/>
    <col min="4" max="4" width="19.140625" style="8" bestFit="1" customWidth="1"/>
    <col min="5" max="5" width="19.140625" style="8" customWidth="1"/>
    <col min="6" max="6" width="27" style="8" customWidth="1"/>
    <col min="7" max="7" width="24.28515625" style="8" customWidth="1"/>
    <col min="8" max="8" width="27.42578125" style="8" customWidth="1"/>
    <col min="9" max="9" width="12.140625" style="8" customWidth="1"/>
    <col min="10" max="10" width="16.5703125" style="8" customWidth="1"/>
    <col min="11" max="11" width="20.85546875" style="8" customWidth="1"/>
    <col min="12" max="12" width="27" style="8" customWidth="1"/>
    <col min="13" max="16384" width="11.42578125" style="8"/>
  </cols>
  <sheetData>
    <row r="2" spans="1:17" ht="28.5">
      <c r="B2" s="23"/>
      <c r="D2" s="24"/>
    </row>
    <row r="3" spans="1:17" ht="16.5" customHeight="1">
      <c r="B3" s="23"/>
      <c r="D3" s="24"/>
    </row>
    <row r="4" spans="1:17" ht="28.5" customHeight="1">
      <c r="B4" s="600" t="s">
        <v>376</v>
      </c>
      <c r="C4" s="600"/>
      <c r="D4" s="600"/>
      <c r="E4" s="600"/>
    </row>
    <row r="5" spans="1:17" ht="28.5" customHeight="1">
      <c r="B5" s="600"/>
      <c r="C5" s="600"/>
      <c r="D5" s="600"/>
      <c r="E5" s="600"/>
    </row>
    <row r="6" spans="1:17" ht="28.5" customHeight="1">
      <c r="B6" s="600"/>
      <c r="C6" s="600"/>
      <c r="D6" s="600"/>
      <c r="E6" s="600"/>
    </row>
    <row r="7" spans="1:17" ht="28.5" customHeight="1">
      <c r="B7" s="25"/>
      <c r="C7" s="25"/>
      <c r="D7" s="25"/>
      <c r="E7" s="25"/>
    </row>
    <row r="8" spans="1:17" ht="18.75" customHeight="1">
      <c r="B8" s="26" t="s">
        <v>293</v>
      </c>
      <c r="F8" s="27" t="s">
        <v>294</v>
      </c>
      <c r="N8" s="630"/>
      <c r="O8" s="630"/>
      <c r="P8" s="630"/>
      <c r="Q8" s="630"/>
    </row>
    <row r="9" spans="1:17" ht="15.75">
      <c r="B9" s="28" t="s">
        <v>377</v>
      </c>
      <c r="F9" s="29" t="s">
        <v>372</v>
      </c>
      <c r="N9" s="630"/>
      <c r="O9" s="630"/>
      <c r="P9" s="630"/>
      <c r="Q9" s="630"/>
    </row>
    <row r="10" spans="1:17" ht="18.75">
      <c r="C10" s="27"/>
      <c r="D10" s="28"/>
      <c r="E10" s="30"/>
      <c r="J10" s="31"/>
      <c r="K10" s="31"/>
      <c r="L10" s="31"/>
      <c r="N10" s="630"/>
      <c r="O10" s="630"/>
      <c r="P10" s="630"/>
      <c r="Q10" s="630"/>
    </row>
    <row r="11" spans="1:17" ht="12.95" customHeight="1">
      <c r="C11" s="32" t="s">
        <v>295</v>
      </c>
      <c r="D11" s="33">
        <f>D26</f>
        <v>4</v>
      </c>
      <c r="E11" s="34"/>
      <c r="F11" s="30"/>
      <c r="J11" s="634"/>
      <c r="K11" s="634"/>
      <c r="L11" s="634"/>
      <c r="N11" s="630"/>
      <c r="O11" s="630"/>
      <c r="P11" s="630"/>
      <c r="Q11" s="630"/>
    </row>
    <row r="12" spans="1:17" s="35" customFormat="1" ht="24" customHeight="1">
      <c r="B12" s="36" t="s">
        <v>378</v>
      </c>
      <c r="C12" s="37" t="s">
        <v>297</v>
      </c>
      <c r="D12" s="38" t="s">
        <v>283</v>
      </c>
      <c r="E12" s="38" t="s">
        <v>285</v>
      </c>
      <c r="F12" s="38" t="s">
        <v>298</v>
      </c>
      <c r="G12" s="38" t="s">
        <v>299</v>
      </c>
      <c r="H12" s="39" t="s">
        <v>300</v>
      </c>
      <c r="I12" s="40"/>
      <c r="J12" s="602" t="s">
        <v>379</v>
      </c>
      <c r="K12" s="602"/>
      <c r="L12" s="41"/>
    </row>
    <row r="13" spans="1:17" ht="15">
      <c r="A13" s="8">
        <v>1</v>
      </c>
      <c r="B13" s="42" t="s">
        <v>380</v>
      </c>
      <c r="C13" s="43" t="s">
        <v>204</v>
      </c>
      <c r="D13" s="44"/>
      <c r="E13" s="45" t="str">
        <f>VLOOKUP(C13,INGREDIENTES!$C$7:$I$141,3, FALSE)</f>
        <v>gramos</v>
      </c>
      <c r="F13" s="46">
        <v>112</v>
      </c>
      <c r="G13" s="47">
        <f>VLOOKUP(C13,INGREDIENTES!$C$7:$I$141,5,FALSE)</f>
        <v>5.9</v>
      </c>
      <c r="H13" s="48">
        <f>F13*G13</f>
        <v>660.80000000000007</v>
      </c>
      <c r="J13" s="431" t="s">
        <v>381</v>
      </c>
      <c r="K13" s="49"/>
      <c r="L13" s="50"/>
    </row>
    <row r="14" spans="1:17" ht="15" customHeight="1">
      <c r="A14" s="8">
        <v>2</v>
      </c>
      <c r="B14" s="51" t="s">
        <v>382</v>
      </c>
      <c r="C14" s="52" t="s">
        <v>383</v>
      </c>
      <c r="D14" s="53" t="s">
        <v>384</v>
      </c>
      <c r="E14" s="45" t="str">
        <f>VLOOKUP(C14,INGREDIENTES!$C$7:$I$141,3, FALSE)</f>
        <v>gramos</v>
      </c>
      <c r="F14" s="46">
        <v>60</v>
      </c>
      <c r="G14" s="47">
        <f>VLOOKUP(C14,INGREDIENTES!$C$7:$I$141,5,FALSE)</f>
        <v>9.6</v>
      </c>
      <c r="H14" s="48">
        <f t="shared" ref="H14:H21" si="0">F14*G14</f>
        <v>576</v>
      </c>
      <c r="J14" s="601" t="s">
        <v>385</v>
      </c>
      <c r="K14" s="601"/>
      <c r="L14" s="54"/>
    </row>
    <row r="15" spans="1:17" ht="15" customHeight="1">
      <c r="A15" s="8">
        <v>3</v>
      </c>
      <c r="B15" s="51" t="s">
        <v>382</v>
      </c>
      <c r="C15" s="52" t="s">
        <v>136</v>
      </c>
      <c r="D15" s="53" t="s">
        <v>386</v>
      </c>
      <c r="E15" s="45" t="str">
        <f>VLOOKUP(C15,INGREDIENTES!$C$7:$I$141,3, FALSE)</f>
        <v>gramos</v>
      </c>
      <c r="F15" s="46">
        <v>12</v>
      </c>
      <c r="G15" s="47">
        <f>VLOOKUP(C15,INGREDIENTES!$C$7:$I$141,5,FALSE)</f>
        <v>4.8</v>
      </c>
      <c r="H15" s="48">
        <f t="shared" si="0"/>
        <v>57.599999999999994</v>
      </c>
      <c r="J15" s="601"/>
      <c r="K15" s="601"/>
      <c r="L15" s="54"/>
    </row>
    <row r="16" spans="1:17" ht="15">
      <c r="A16" s="8">
        <v>4</v>
      </c>
      <c r="B16" s="51" t="s">
        <v>382</v>
      </c>
      <c r="C16" s="52" t="s">
        <v>232</v>
      </c>
      <c r="D16" s="53" t="s">
        <v>387</v>
      </c>
      <c r="E16" s="45" t="str">
        <f>VLOOKUP(C16,INGREDIENTES!$C$7:$I$141,3, FALSE)</f>
        <v>gramos</v>
      </c>
      <c r="F16" s="46">
        <v>30</v>
      </c>
      <c r="G16" s="47">
        <f>VLOOKUP(C16,INGREDIENTES!$C$7:$I$141,5,FALSE)</f>
        <v>20.440000000000001</v>
      </c>
      <c r="H16" s="48">
        <f t="shared" si="0"/>
        <v>613.20000000000005</v>
      </c>
      <c r="J16" s="431" t="s">
        <v>388</v>
      </c>
      <c r="K16" s="49"/>
      <c r="L16" s="54"/>
    </row>
    <row r="17" spans="1:13" ht="15">
      <c r="A17" s="8">
        <v>5</v>
      </c>
      <c r="B17" s="51" t="s">
        <v>389</v>
      </c>
      <c r="C17" s="43" t="s">
        <v>246</v>
      </c>
      <c r="D17" s="44"/>
      <c r="E17" s="45" t="str">
        <f>VLOOKUP(C17,INGREDIENTES!$C$7:$I$141,3, FALSE)</f>
        <v>mililitros</v>
      </c>
      <c r="F17" s="46">
        <v>25</v>
      </c>
      <c r="G17" s="47">
        <f>VLOOKUP(C17,INGREDIENTES!$C$7:$I$141,5,FALSE)</f>
        <v>12.8</v>
      </c>
      <c r="H17" s="48">
        <f t="shared" si="0"/>
        <v>320</v>
      </c>
      <c r="J17" s="431" t="s">
        <v>390</v>
      </c>
      <c r="K17" s="49"/>
      <c r="L17" s="54"/>
    </row>
    <row r="18" spans="1:13" ht="15">
      <c r="A18" s="8">
        <v>6</v>
      </c>
      <c r="B18" s="51" t="s">
        <v>380</v>
      </c>
      <c r="C18" s="52" t="s">
        <v>185</v>
      </c>
      <c r="D18" s="53"/>
      <c r="E18" s="45" t="str">
        <f>VLOOKUP(C18,INGREDIENTES!$C$7:$I$141,3, FALSE)</f>
        <v>gramos</v>
      </c>
      <c r="F18" s="46">
        <v>15</v>
      </c>
      <c r="G18" s="47">
        <f>VLOOKUP(C18,INGREDIENTES!$C$7:$I$141,5,FALSE)</f>
        <v>16.72</v>
      </c>
      <c r="H18" s="48">
        <f t="shared" si="0"/>
        <v>250.79999999999998</v>
      </c>
      <c r="J18" s="431" t="s">
        <v>391</v>
      </c>
      <c r="K18" s="49"/>
      <c r="L18" s="54"/>
    </row>
    <row r="19" spans="1:13" ht="15">
      <c r="A19" s="8">
        <v>7</v>
      </c>
      <c r="B19" s="51" t="s">
        <v>382</v>
      </c>
      <c r="C19" s="52" t="s">
        <v>182</v>
      </c>
      <c r="D19" s="53" t="s">
        <v>392</v>
      </c>
      <c r="E19" s="45" t="str">
        <f>VLOOKUP(C19,INGREDIENTES!$C$7:$I$141,3, FALSE)</f>
        <v>gramos</v>
      </c>
      <c r="F19" s="46">
        <v>15</v>
      </c>
      <c r="G19" s="47">
        <f>VLOOKUP(C19,INGREDIENTES!$C$7:$I$141,5,FALSE)</f>
        <v>23.95</v>
      </c>
      <c r="H19" s="48">
        <f t="shared" ref="H19" si="1">F19*G19</f>
        <v>359.25</v>
      </c>
      <c r="J19" s="431" t="s">
        <v>393</v>
      </c>
      <c r="K19" s="49"/>
      <c r="L19" s="54"/>
    </row>
    <row r="20" spans="1:13" ht="15">
      <c r="A20" s="8">
        <v>8</v>
      </c>
      <c r="B20" s="51" t="s">
        <v>382</v>
      </c>
      <c r="C20" s="52" t="s">
        <v>112</v>
      </c>
      <c r="D20" s="53" t="s">
        <v>394</v>
      </c>
      <c r="E20" s="45" t="str">
        <f>VLOOKUP(C20,INGREDIENTES!$C$7:$I$141,3, FALSE)</f>
        <v>gramos</v>
      </c>
      <c r="F20" s="46">
        <v>7</v>
      </c>
      <c r="G20" s="47">
        <f>VLOOKUP(C20,INGREDIENTES!$C$7:$I$141,5,FALSE)</f>
        <v>18</v>
      </c>
      <c r="H20" s="48">
        <f t="shared" si="0"/>
        <v>126</v>
      </c>
      <c r="J20" s="431" t="s">
        <v>395</v>
      </c>
      <c r="K20" s="49"/>
      <c r="L20" s="54"/>
    </row>
    <row r="21" spans="1:13" ht="15">
      <c r="A21" s="8">
        <v>9</v>
      </c>
      <c r="B21" s="55" t="s">
        <v>382</v>
      </c>
      <c r="C21" s="56" t="s">
        <v>244</v>
      </c>
      <c r="D21" s="57"/>
      <c r="E21" s="45" t="str">
        <f>VLOOKUP(C21,INGREDIENTES!$C$7:$I$141,3, FALSE)</f>
        <v>gramos</v>
      </c>
      <c r="F21" s="58">
        <v>5</v>
      </c>
      <c r="G21" s="47">
        <f>VLOOKUP(C21,INGREDIENTES!$C$7:$I$141,5,FALSE)</f>
        <v>1.05</v>
      </c>
      <c r="H21" s="59">
        <f t="shared" si="0"/>
        <v>5.25</v>
      </c>
      <c r="J21" s="431" t="s">
        <v>396</v>
      </c>
      <c r="K21" s="49"/>
      <c r="L21" s="54"/>
    </row>
    <row r="22" spans="1:13" ht="8.25" customHeight="1">
      <c r="C22" s="60"/>
      <c r="D22" s="60"/>
      <c r="E22" s="60"/>
      <c r="F22" s="60"/>
      <c r="G22" s="60"/>
      <c r="H22" s="60"/>
      <c r="I22" s="60"/>
    </row>
    <row r="23" spans="1:13">
      <c r="C23" s="9"/>
      <c r="D23" s="10"/>
      <c r="E23" s="11" t="s">
        <v>304</v>
      </c>
      <c r="F23" s="61">
        <f>SUM(F13:F21)</f>
        <v>281</v>
      </c>
      <c r="G23" s="12" t="str">
        <f>C28</f>
        <v>COSTO PRODUCCIÓN RECETA</v>
      </c>
      <c r="H23" s="62">
        <f>SUMIF(H13:H21,"&gt;0")</f>
        <v>2968.9000000000005</v>
      </c>
    </row>
    <row r="24" spans="1:13" ht="20.25" customHeight="1">
      <c r="G24" s="13" t="s">
        <v>397</v>
      </c>
      <c r="H24" s="14" t="str">
        <f>IF(F9="Desayuno", "$9.000", IF(F9= "Snack", "$8.000", IF(F9= "Plato fuerte", "$10.000", "$8.000")))</f>
        <v>$8.000</v>
      </c>
      <c r="L24" s="630"/>
      <c r="M24" s="630"/>
    </row>
    <row r="25" spans="1:13" ht="25.5">
      <c r="C25" s="15" t="s">
        <v>311</v>
      </c>
      <c r="D25" s="16">
        <f>F23</f>
        <v>281</v>
      </c>
      <c r="H25" s="17"/>
      <c r="L25" s="630"/>
      <c r="M25" s="630"/>
    </row>
    <row r="26" spans="1:13" ht="12.75" customHeight="1">
      <c r="C26" s="18" t="s">
        <v>315</v>
      </c>
      <c r="D26" s="63">
        <v>4</v>
      </c>
      <c r="E26" s="64"/>
      <c r="F26" s="64"/>
      <c r="G26" s="64"/>
      <c r="H26" s="65"/>
      <c r="I26" s="630"/>
      <c r="J26" s="630"/>
      <c r="K26" s="64"/>
      <c r="L26" s="630"/>
      <c r="M26" s="630"/>
    </row>
    <row r="27" spans="1:13" ht="12.75" customHeight="1">
      <c r="C27" s="66" t="s">
        <v>318</v>
      </c>
      <c r="D27" s="67">
        <f>F23/D26</f>
        <v>70.25</v>
      </c>
      <c r="E27" s="68"/>
      <c r="F27" s="630"/>
      <c r="G27" s="69"/>
      <c r="H27" s="65"/>
      <c r="I27" s="630"/>
      <c r="J27" s="630"/>
      <c r="K27" s="64"/>
      <c r="L27" s="70"/>
      <c r="M27" s="70"/>
    </row>
    <row r="28" spans="1:13">
      <c r="C28" s="18" t="s">
        <v>320</v>
      </c>
      <c r="D28" s="21">
        <f>H23</f>
        <v>2968.9000000000005</v>
      </c>
      <c r="E28" s="64"/>
      <c r="F28" s="630"/>
      <c r="G28" s="64"/>
      <c r="H28" s="64"/>
      <c r="I28" s="630"/>
      <c r="J28" s="630"/>
      <c r="K28" s="64"/>
      <c r="L28" s="70"/>
      <c r="M28" s="70"/>
    </row>
    <row r="29" spans="1:13">
      <c r="C29" s="22" t="s">
        <v>325</v>
      </c>
      <c r="D29" s="71">
        <f>D28/D26</f>
        <v>742.22500000000014</v>
      </c>
      <c r="E29" s="64"/>
      <c r="F29" s="630"/>
      <c r="G29" s="64"/>
      <c r="H29" s="65"/>
      <c r="I29" s="630"/>
      <c r="J29" s="630"/>
      <c r="K29" s="64"/>
      <c r="L29" s="70"/>
      <c r="M29" s="70"/>
    </row>
    <row r="30" spans="1:13" ht="30" customHeight="1">
      <c r="A30" s="72"/>
      <c r="C30" s="72"/>
      <c r="E30" s="64"/>
      <c r="F30" s="630"/>
      <c r="G30" s="64"/>
      <c r="H30" s="65"/>
      <c r="I30" s="630"/>
      <c r="J30" s="630"/>
      <c r="K30" s="64"/>
    </row>
    <row r="31" spans="1:13" ht="30" customHeight="1">
      <c r="A31" s="72"/>
      <c r="B31" s="604" t="s">
        <v>398</v>
      </c>
      <c r="C31" s="604"/>
      <c r="D31" s="604"/>
      <c r="E31" s="64"/>
      <c r="F31" s="430"/>
      <c r="G31" s="64"/>
      <c r="H31" s="65"/>
      <c r="I31" s="430"/>
      <c r="J31" s="430"/>
      <c r="K31" s="64"/>
    </row>
    <row r="32" spans="1:13" ht="17.25" customHeight="1">
      <c r="A32" s="72"/>
      <c r="B32" s="73"/>
      <c r="C32" s="73"/>
      <c r="D32" s="73"/>
      <c r="E32" s="64"/>
      <c r="F32" s="430"/>
      <c r="G32" s="64"/>
      <c r="H32" s="65"/>
      <c r="I32" s="430"/>
      <c r="J32" s="430"/>
      <c r="K32" s="64"/>
    </row>
    <row r="33" spans="1:13" ht="18.75">
      <c r="A33" s="72"/>
      <c r="B33" s="26" t="s">
        <v>293</v>
      </c>
      <c r="C33" s="73"/>
      <c r="D33" s="73"/>
      <c r="E33" s="64"/>
      <c r="F33" s="74" t="s">
        <v>294</v>
      </c>
      <c r="G33" s="64"/>
      <c r="H33" s="65"/>
      <c r="I33" s="430"/>
      <c r="J33" s="430"/>
      <c r="K33" s="64"/>
    </row>
    <row r="34" spans="1:13" ht="15.75">
      <c r="B34" s="28" t="s">
        <v>399</v>
      </c>
      <c r="F34" s="29" t="s">
        <v>400</v>
      </c>
    </row>
    <row r="36" spans="1:13">
      <c r="C36" s="32" t="s">
        <v>295</v>
      </c>
      <c r="D36" s="33">
        <f>D53</f>
        <v>4</v>
      </c>
      <c r="E36" s="34"/>
      <c r="F36" s="30"/>
      <c r="J36" s="631" t="s">
        <v>296</v>
      </c>
      <c r="K36" s="632"/>
      <c r="L36" s="633"/>
    </row>
    <row r="37" spans="1:13" ht="36">
      <c r="B37" s="36" t="s">
        <v>378</v>
      </c>
      <c r="C37" s="37" t="s">
        <v>297</v>
      </c>
      <c r="D37" s="38" t="s">
        <v>283</v>
      </c>
      <c r="E37" s="38" t="s">
        <v>285</v>
      </c>
      <c r="F37" s="38" t="s">
        <v>298</v>
      </c>
      <c r="G37" s="38" t="s">
        <v>299</v>
      </c>
      <c r="H37" s="39" t="s">
        <v>300</v>
      </c>
      <c r="I37" s="40"/>
      <c r="J37" s="75" t="s">
        <v>301</v>
      </c>
      <c r="K37" s="76" t="s">
        <v>302</v>
      </c>
      <c r="L37" s="77" t="s">
        <v>303</v>
      </c>
      <c r="M37" s="35"/>
    </row>
    <row r="38" spans="1:13" ht="15">
      <c r="B38" s="42" t="s">
        <v>401</v>
      </c>
      <c r="C38" s="43" t="s">
        <v>270</v>
      </c>
      <c r="D38" s="44" t="s">
        <v>402</v>
      </c>
      <c r="E38" s="78" t="str">
        <f>VLOOKUP(C38,INGREDIENTES!$C$7:$I$141,3,FALSE)</f>
        <v>gramos</v>
      </c>
      <c r="F38" s="46">
        <v>620</v>
      </c>
      <c r="G38" s="1">
        <f>VLOOKUP(C38,INGREDIENTES!$C$7:$I$141,5,FALSE)</f>
        <v>4.2</v>
      </c>
      <c r="H38" s="2">
        <f>F38*G38</f>
        <v>2604</v>
      </c>
      <c r="J38" s="5" t="e">
        <f ca="1">_xlfn.XLOOKUP(C38,INGREDIENTES!$C$7:$C$141,INGREDIENTES!$D$7:$D$141)</f>
        <v>#NAME?</v>
      </c>
      <c r="K38" s="6" t="str">
        <f t="shared" ref="K38:K48" ca="1" si="2">IFERROR((F38*1)/J38,"-")</f>
        <v>-</v>
      </c>
      <c r="L38" s="7" t="str">
        <f t="shared" ref="L38:L48" ca="1" si="3">IFERROR(J38/F38,"-")</f>
        <v>-</v>
      </c>
    </row>
    <row r="39" spans="1:13" ht="15">
      <c r="B39" s="51" t="s">
        <v>403</v>
      </c>
      <c r="C39" s="52" t="s">
        <v>268</v>
      </c>
      <c r="D39" s="53" t="s">
        <v>404</v>
      </c>
      <c r="E39" s="78" t="str">
        <f>VLOOKUP(C39,INGREDIENTES!$C$7:$I$141,3,FALSE)</f>
        <v>gramos</v>
      </c>
      <c r="F39" s="46">
        <v>200</v>
      </c>
      <c r="G39" s="1">
        <f>VLOOKUP(C39,INGREDIENTES!$C$7:$I$141,5,FALSE)</f>
        <v>2.6</v>
      </c>
      <c r="H39" s="2">
        <f t="shared" ref="H39:H47" si="4">F39*G39</f>
        <v>520</v>
      </c>
      <c r="J39" s="5" t="e">
        <f ca="1">_xlfn.XLOOKUP(C39,INGREDIENTES!$C$7:$C$141,INGREDIENTES!$D$7:$D$141)</f>
        <v>#NAME?</v>
      </c>
      <c r="K39" s="6" t="str">
        <f t="shared" ca="1" si="2"/>
        <v>-</v>
      </c>
      <c r="L39" s="7" t="str">
        <f t="shared" ca="1" si="3"/>
        <v>-</v>
      </c>
    </row>
    <row r="40" spans="1:13" ht="15">
      <c r="B40" s="51" t="s">
        <v>389</v>
      </c>
      <c r="C40" s="52" t="s">
        <v>180</v>
      </c>
      <c r="D40" s="53" t="s">
        <v>405</v>
      </c>
      <c r="E40" s="78" t="str">
        <f>VLOOKUP(C40,INGREDIENTES!$C$7:$I$141,3,FALSE)</f>
        <v>gramos</v>
      </c>
      <c r="F40" s="46">
        <v>200</v>
      </c>
      <c r="G40" s="1">
        <f>VLOOKUP(C40,INGREDIENTES!$C$7:$I$141,5,FALSE)</f>
        <v>4.4000000000000004</v>
      </c>
      <c r="H40" s="2">
        <f t="shared" si="4"/>
        <v>880.00000000000011</v>
      </c>
      <c r="J40" s="5" t="e">
        <f ca="1">_xlfn.XLOOKUP(C40,INGREDIENTES!$C$7:$C$141,INGREDIENTES!$D$7:$D$141)</f>
        <v>#NAME?</v>
      </c>
      <c r="K40" s="6" t="str">
        <f t="shared" ca="1" si="2"/>
        <v>-</v>
      </c>
      <c r="L40" s="7" t="str">
        <f t="shared" ca="1" si="3"/>
        <v>-</v>
      </c>
    </row>
    <row r="41" spans="1:13" ht="15">
      <c r="B41" s="51" t="s">
        <v>274</v>
      </c>
      <c r="C41" s="52" t="s">
        <v>217</v>
      </c>
      <c r="D41" s="53" t="s">
        <v>406</v>
      </c>
      <c r="E41" s="78" t="str">
        <f>VLOOKUP(C41,INGREDIENTES!$C$7:$I$141,3,FALSE)</f>
        <v>gramos</v>
      </c>
      <c r="F41" s="46">
        <v>160</v>
      </c>
      <c r="G41" s="1">
        <f>VLOOKUP(C41,INGREDIENTES!$C$7:$I$141,5,FALSE)</f>
        <v>9.98</v>
      </c>
      <c r="H41" s="2">
        <f t="shared" si="4"/>
        <v>1596.8000000000002</v>
      </c>
      <c r="J41" s="5" t="e">
        <f ca="1">_xlfn.XLOOKUP(C41,INGREDIENTES!$C$7:$C$141,INGREDIENTES!$D$7:$D$141)</f>
        <v>#NAME?</v>
      </c>
      <c r="K41" s="6" t="str">
        <f t="shared" ca="1" si="2"/>
        <v>-</v>
      </c>
      <c r="L41" s="7" t="str">
        <f t="shared" ca="1" si="3"/>
        <v>-</v>
      </c>
    </row>
    <row r="42" spans="1:13" ht="15">
      <c r="B42" s="51" t="s">
        <v>403</v>
      </c>
      <c r="C42" s="43" t="s">
        <v>98</v>
      </c>
      <c r="D42" s="44" t="s">
        <v>386</v>
      </c>
      <c r="E42" s="78" t="str">
        <f>VLOOKUP(C42,INGREDIENTES!$C$7:$I$141,3,FALSE)</f>
        <v>gramos</v>
      </c>
      <c r="F42" s="46">
        <v>80</v>
      </c>
      <c r="G42" s="1">
        <f>VLOOKUP(C42,INGREDIENTES!$C$7:$I$141,5,FALSE)</f>
        <v>3.58</v>
      </c>
      <c r="H42" s="2">
        <f t="shared" si="4"/>
        <v>286.39999999999998</v>
      </c>
      <c r="J42" s="5" t="e">
        <f ca="1">_xlfn.XLOOKUP(C42,INGREDIENTES!$C$7:$C$141,INGREDIENTES!$D$7:$D$141)</f>
        <v>#NAME?</v>
      </c>
      <c r="K42" s="6" t="str">
        <f t="shared" ca="1" si="2"/>
        <v>-</v>
      </c>
      <c r="L42" s="7" t="str">
        <f t="shared" ca="1" si="3"/>
        <v>-</v>
      </c>
    </row>
    <row r="43" spans="1:13" ht="15">
      <c r="B43" s="51" t="s">
        <v>403</v>
      </c>
      <c r="C43" s="43" t="s">
        <v>225</v>
      </c>
      <c r="D43" s="44" t="s">
        <v>386</v>
      </c>
      <c r="E43" s="78" t="str">
        <f>VLOOKUP(C43,INGREDIENTES!$C$7:$I$141,3,FALSE)</f>
        <v>gramos</v>
      </c>
      <c r="F43" s="46">
        <v>60</v>
      </c>
      <c r="G43" s="1">
        <f>VLOOKUP(C43,INGREDIENTES!$C$7:$I$141,5,FALSE)</f>
        <v>4.9000000000000004</v>
      </c>
      <c r="H43" s="2">
        <f t="shared" ref="H43" si="5">F43*G43</f>
        <v>294</v>
      </c>
      <c r="J43" s="5" t="e">
        <f ca="1">_xlfn.XLOOKUP(C43,INGREDIENTES!$C$7:$C$141,INGREDIENTES!$D$7:$D$141)</f>
        <v>#NAME?</v>
      </c>
      <c r="K43" s="6" t="str">
        <f t="shared" ca="1" si="2"/>
        <v>-</v>
      </c>
      <c r="L43" s="7" t="str">
        <f t="shared" ca="1" si="3"/>
        <v>-</v>
      </c>
    </row>
    <row r="44" spans="1:13" ht="15">
      <c r="B44" s="51" t="s">
        <v>389</v>
      </c>
      <c r="C44" s="52" t="s">
        <v>174</v>
      </c>
      <c r="D44" s="53" t="s">
        <v>407</v>
      </c>
      <c r="E44" s="78" t="str">
        <f>VLOOKUP(C44,INGREDIENTES!$C$7:$I$141,3,FALSE)</f>
        <v>gramos</v>
      </c>
      <c r="F44" s="46">
        <v>28</v>
      </c>
      <c r="G44" s="1">
        <f>VLOOKUP(C44,INGREDIENTES!$C$7:$I$141,5,FALSE)</f>
        <v>4.8</v>
      </c>
      <c r="H44" s="2">
        <f t="shared" si="4"/>
        <v>134.4</v>
      </c>
      <c r="J44" s="5" t="e">
        <f ca="1">_xlfn.XLOOKUP(C44,INGREDIENTES!$C$7:$C$141,INGREDIENTES!$D$7:$D$141)</f>
        <v>#NAME?</v>
      </c>
      <c r="K44" s="6" t="str">
        <f t="shared" ca="1" si="2"/>
        <v>-</v>
      </c>
      <c r="L44" s="7" t="str">
        <f t="shared" ca="1" si="3"/>
        <v>-</v>
      </c>
    </row>
    <row r="45" spans="1:13" ht="15">
      <c r="B45" s="51" t="s">
        <v>401</v>
      </c>
      <c r="C45" s="52" t="s">
        <v>31</v>
      </c>
      <c r="D45" s="53"/>
      <c r="E45" s="78" t="str">
        <f>VLOOKUP(C45,INGREDIENTES!$C$7:$I$141,3,FALSE)</f>
        <v>mililitros</v>
      </c>
      <c r="F45" s="46">
        <v>20</v>
      </c>
      <c r="G45" s="1">
        <f>VLOOKUP(C45,INGREDIENTES!$C$7:$I$141,5,FALSE)</f>
        <v>18.98</v>
      </c>
      <c r="H45" s="2">
        <f t="shared" si="4"/>
        <v>379.6</v>
      </c>
      <c r="J45" s="5" t="e">
        <f ca="1">_xlfn.XLOOKUP(C45,INGREDIENTES!$C$7:$C$141,INGREDIENTES!$D$7:$D$141)</f>
        <v>#NAME?</v>
      </c>
      <c r="K45" s="6" t="str">
        <f t="shared" ca="1" si="2"/>
        <v>-</v>
      </c>
      <c r="L45" s="7" t="str">
        <f t="shared" ca="1" si="3"/>
        <v>-</v>
      </c>
    </row>
    <row r="46" spans="1:13" ht="15">
      <c r="B46" s="51" t="s">
        <v>401</v>
      </c>
      <c r="C46" s="52" t="s">
        <v>182</v>
      </c>
      <c r="D46" s="53" t="s">
        <v>392</v>
      </c>
      <c r="E46" s="78" t="str">
        <f>VLOOKUP(C46,INGREDIENTES!$C$7:$I$141,3,FALSE)</f>
        <v>gramos</v>
      </c>
      <c r="F46" s="46">
        <v>20</v>
      </c>
      <c r="G46" s="1">
        <f>VLOOKUP(C46,INGREDIENTES!$C$7:$I$141,5,FALSE)</f>
        <v>23.95</v>
      </c>
      <c r="H46" s="2">
        <f t="shared" si="4"/>
        <v>479</v>
      </c>
      <c r="J46" s="5" t="e">
        <f ca="1">_xlfn.XLOOKUP(C46,INGREDIENTES!$C$7:$C$141,INGREDIENTES!$D$7:$D$141)</f>
        <v>#NAME?</v>
      </c>
      <c r="K46" s="6" t="str">
        <f t="shared" ca="1" si="2"/>
        <v>-</v>
      </c>
      <c r="L46" s="7" t="str">
        <f t="shared" ca="1" si="3"/>
        <v>-</v>
      </c>
    </row>
    <row r="47" spans="1:13" ht="15">
      <c r="B47" s="51" t="s">
        <v>389</v>
      </c>
      <c r="C47" s="79" t="s">
        <v>254</v>
      </c>
      <c r="D47" s="80" t="s">
        <v>408</v>
      </c>
      <c r="E47" s="78" t="str">
        <f>VLOOKUP(C47,INGREDIENTES!$C$7:$I$141,3,FALSE)</f>
        <v>gramos</v>
      </c>
      <c r="F47" s="81">
        <v>10</v>
      </c>
      <c r="G47" s="1">
        <f>VLOOKUP(C47,INGREDIENTES!$C$7:$I$141,5,FALSE)</f>
        <v>71.2</v>
      </c>
      <c r="H47" s="3">
        <f t="shared" si="4"/>
        <v>712</v>
      </c>
      <c r="J47" s="5" t="e">
        <f ca="1">_xlfn.XLOOKUP(C47,INGREDIENTES!$C$7:$C$141,INGREDIENTES!$D$7:$D$141)</f>
        <v>#NAME?</v>
      </c>
      <c r="K47" s="6" t="str">
        <f t="shared" ca="1" si="2"/>
        <v>-</v>
      </c>
      <c r="L47" s="7" t="str">
        <f t="shared" ca="1" si="3"/>
        <v>-</v>
      </c>
    </row>
    <row r="48" spans="1:13" ht="15">
      <c r="B48" s="55" t="s">
        <v>409</v>
      </c>
      <c r="C48" s="82" t="s">
        <v>244</v>
      </c>
      <c r="D48" s="83"/>
      <c r="E48" s="78" t="str">
        <f>VLOOKUP(C48,INGREDIENTES!$C$7:$I$141,3,FALSE)</f>
        <v>gramos</v>
      </c>
      <c r="F48" s="84">
        <v>10</v>
      </c>
      <c r="G48" s="1">
        <f>VLOOKUP(C48,INGREDIENTES!$C$7:$I$141,5,FALSE)</f>
        <v>1.05</v>
      </c>
      <c r="H48" s="4">
        <f t="shared" ref="H48" si="6">F48*G48</f>
        <v>10.5</v>
      </c>
      <c r="J48" s="5" t="e">
        <f ca="1">_xlfn.XLOOKUP(C48,INGREDIENTES!$C$7:$C$141,INGREDIENTES!$D$7:$D$141)</f>
        <v>#NAME?</v>
      </c>
      <c r="K48" s="6" t="str">
        <f t="shared" ca="1" si="2"/>
        <v>-</v>
      </c>
      <c r="L48" s="7" t="str">
        <f t="shared" ca="1" si="3"/>
        <v>-</v>
      </c>
    </row>
    <row r="49" spans="3:13">
      <c r="C49" s="60"/>
      <c r="D49" s="60"/>
      <c r="E49" s="60"/>
      <c r="F49" s="60"/>
      <c r="G49" s="60"/>
      <c r="H49" s="60"/>
      <c r="I49" s="60"/>
    </row>
    <row r="50" spans="3:13">
      <c r="C50" s="9"/>
      <c r="D50" s="10"/>
      <c r="E50" s="11" t="s">
        <v>304</v>
      </c>
      <c r="F50" s="61">
        <f>SUM(F38:F48)</f>
        <v>1408</v>
      </c>
      <c r="G50" s="12" t="str">
        <f>C55</f>
        <v>COSTO PRODUCCIÓN RECETA</v>
      </c>
      <c r="H50" s="62">
        <f>SUMIF(H38:H48,"&gt;0")</f>
        <v>7896.7</v>
      </c>
    </row>
    <row r="51" spans="3:13">
      <c r="G51" s="13" t="s">
        <v>397</v>
      </c>
      <c r="H51" s="14" t="str">
        <f>IF(F33="Desayuno", "$9.000", IF(F33= "Snack", "$8.000", IF(F33= "Plato fuerte", "$10.000", "$8.000")))</f>
        <v>$8.000</v>
      </c>
      <c r="L51" s="70"/>
      <c r="M51" s="70"/>
    </row>
    <row r="52" spans="3:13" ht="25.5">
      <c r="C52" s="15" t="s">
        <v>311</v>
      </c>
      <c r="D52" s="16">
        <f>F50</f>
        <v>1408</v>
      </c>
      <c r="H52" s="17"/>
      <c r="L52" s="70"/>
      <c r="M52" s="70"/>
    </row>
    <row r="53" spans="3:13">
      <c r="C53" s="18" t="s">
        <v>315</v>
      </c>
      <c r="D53" s="63">
        <v>4</v>
      </c>
      <c r="E53" s="64"/>
      <c r="F53" s="64"/>
      <c r="G53" s="64"/>
      <c r="H53" s="65"/>
      <c r="I53" s="70"/>
      <c r="J53" s="70"/>
      <c r="K53" s="64"/>
      <c r="L53" s="70"/>
      <c r="M53" s="70"/>
    </row>
    <row r="54" spans="3:13" ht="12.75" customHeight="1">
      <c r="C54" s="66" t="s">
        <v>318</v>
      </c>
      <c r="D54" s="67">
        <f>F50/D53</f>
        <v>352</v>
      </c>
      <c r="E54" s="68"/>
      <c r="F54" s="623" t="s">
        <v>410</v>
      </c>
      <c r="G54" s="624"/>
      <c r="H54" s="624"/>
      <c r="I54" s="624"/>
      <c r="J54" s="624"/>
      <c r="K54" s="624"/>
      <c r="L54" s="624"/>
      <c r="M54" s="625"/>
    </row>
    <row r="55" spans="3:13">
      <c r="C55" s="18" t="s">
        <v>320</v>
      </c>
      <c r="D55" s="21">
        <f>H50</f>
        <v>7896.7</v>
      </c>
      <c r="E55" s="64"/>
      <c r="F55" s="85" t="s">
        <v>411</v>
      </c>
      <c r="G55" s="86" t="s">
        <v>289</v>
      </c>
      <c r="H55" s="87" t="s">
        <v>290</v>
      </c>
      <c r="I55" s="626" t="s">
        <v>291</v>
      </c>
      <c r="J55" s="626"/>
      <c r="K55" s="626"/>
      <c r="L55" s="626"/>
      <c r="M55" s="627"/>
    </row>
    <row r="56" spans="3:13" ht="12.75" customHeight="1">
      <c r="C56" s="22" t="s">
        <v>325</v>
      </c>
      <c r="D56" s="71">
        <f>D55/D53</f>
        <v>1974.175</v>
      </c>
      <c r="E56" s="64"/>
      <c r="F56" s="88" t="s">
        <v>401</v>
      </c>
      <c r="G56" s="89">
        <v>1</v>
      </c>
      <c r="H56" s="90" t="s">
        <v>412</v>
      </c>
      <c r="I56" s="628" t="s">
        <v>413</v>
      </c>
      <c r="J56" s="628"/>
      <c r="K56" s="628"/>
      <c r="L56" s="628"/>
      <c r="M56" s="629"/>
    </row>
    <row r="57" spans="3:13" ht="28.5" customHeight="1">
      <c r="C57" s="72"/>
      <c r="E57" s="64"/>
      <c r="F57" s="91" t="s">
        <v>401</v>
      </c>
      <c r="G57" s="92">
        <v>2</v>
      </c>
      <c r="H57" s="93" t="s">
        <v>412</v>
      </c>
      <c r="I57" s="616" t="s">
        <v>414</v>
      </c>
      <c r="J57" s="616"/>
      <c r="K57" s="616"/>
      <c r="L57" s="616"/>
      <c r="M57" s="617"/>
    </row>
    <row r="58" spans="3:13" ht="12.75" customHeight="1">
      <c r="F58" s="91" t="s">
        <v>401</v>
      </c>
      <c r="G58" s="94">
        <v>3</v>
      </c>
      <c r="H58" s="93" t="s">
        <v>412</v>
      </c>
      <c r="I58" s="616" t="s">
        <v>415</v>
      </c>
      <c r="J58" s="616"/>
      <c r="K58" s="616"/>
      <c r="L58" s="616"/>
      <c r="M58" s="617"/>
    </row>
    <row r="59" spans="3:13" ht="12.75" customHeight="1">
      <c r="F59" s="91" t="s">
        <v>401</v>
      </c>
      <c r="G59" s="94">
        <v>4</v>
      </c>
      <c r="H59" s="93" t="s">
        <v>412</v>
      </c>
      <c r="I59" s="616" t="s">
        <v>416</v>
      </c>
      <c r="J59" s="616"/>
      <c r="K59" s="616"/>
      <c r="L59" s="616"/>
      <c r="M59" s="617"/>
    </row>
    <row r="60" spans="3:13" ht="15">
      <c r="F60" s="95" t="s">
        <v>401</v>
      </c>
      <c r="G60" s="96">
        <v>5</v>
      </c>
      <c r="H60" s="97" t="s">
        <v>412</v>
      </c>
      <c r="I60" s="605" t="s">
        <v>417</v>
      </c>
      <c r="J60" s="605"/>
      <c r="K60" s="605"/>
      <c r="L60" s="605"/>
      <c r="M60" s="606"/>
    </row>
    <row r="61" spans="3:13" ht="25.5">
      <c r="F61" s="98" t="s">
        <v>403</v>
      </c>
      <c r="G61" s="99">
        <v>1</v>
      </c>
      <c r="H61" s="100" t="s">
        <v>418</v>
      </c>
      <c r="I61" s="614" t="s">
        <v>419</v>
      </c>
      <c r="J61" s="614"/>
      <c r="K61" s="614"/>
      <c r="L61" s="614"/>
      <c r="M61" s="615"/>
    </row>
    <row r="62" spans="3:13" ht="25.5">
      <c r="F62" s="91" t="s">
        <v>403</v>
      </c>
      <c r="G62" s="94">
        <v>2</v>
      </c>
      <c r="H62" s="101" t="s">
        <v>418</v>
      </c>
      <c r="I62" s="616" t="s">
        <v>420</v>
      </c>
      <c r="J62" s="616"/>
      <c r="K62" s="616"/>
      <c r="L62" s="616"/>
      <c r="M62" s="617"/>
    </row>
    <row r="63" spans="3:13" ht="30.75" customHeight="1">
      <c r="D63" s="613" t="s">
        <v>421</v>
      </c>
      <c r="F63" s="91" t="s">
        <v>403</v>
      </c>
      <c r="G63" s="94">
        <v>3</v>
      </c>
      <c r="H63" s="101" t="s">
        <v>418</v>
      </c>
      <c r="I63" s="616" t="s">
        <v>422</v>
      </c>
      <c r="J63" s="616"/>
      <c r="K63" s="616"/>
      <c r="L63" s="616"/>
      <c r="M63" s="617"/>
    </row>
    <row r="64" spans="3:13" ht="32.25" customHeight="1">
      <c r="C64" s="64"/>
      <c r="D64" s="613"/>
      <c r="F64" s="91" t="s">
        <v>403</v>
      </c>
      <c r="G64" s="94">
        <v>4</v>
      </c>
      <c r="H64" s="101" t="s">
        <v>418</v>
      </c>
      <c r="I64" s="616" t="s">
        <v>423</v>
      </c>
      <c r="J64" s="616"/>
      <c r="K64" s="616"/>
      <c r="L64" s="616"/>
      <c r="M64" s="617"/>
    </row>
    <row r="65" spans="4:13" ht="25.5">
      <c r="D65" s="613"/>
      <c r="F65" s="102" t="s">
        <v>403</v>
      </c>
      <c r="G65" s="103">
        <v>5</v>
      </c>
      <c r="H65" s="104" t="s">
        <v>418</v>
      </c>
      <c r="I65" s="618" t="s">
        <v>424</v>
      </c>
      <c r="J65" s="618"/>
      <c r="K65" s="618"/>
      <c r="L65" s="618"/>
      <c r="M65" s="619"/>
    </row>
    <row r="66" spans="4:13" ht="48" customHeight="1">
      <c r="F66" s="105" t="s">
        <v>274</v>
      </c>
      <c r="G66" s="106">
        <v>1</v>
      </c>
      <c r="H66" s="107" t="s">
        <v>425</v>
      </c>
      <c r="I66" s="620" t="s">
        <v>426</v>
      </c>
      <c r="J66" s="621"/>
      <c r="K66" s="621"/>
      <c r="L66" s="621"/>
      <c r="M66" s="622"/>
    </row>
    <row r="67" spans="4:13" ht="31.5" customHeight="1">
      <c r="F67" s="91" t="s">
        <v>274</v>
      </c>
      <c r="G67" s="94">
        <v>2</v>
      </c>
      <c r="H67" s="108" t="s">
        <v>425</v>
      </c>
      <c r="I67" s="616" t="s">
        <v>427</v>
      </c>
      <c r="J67" s="616"/>
      <c r="K67" s="616"/>
      <c r="L67" s="616"/>
      <c r="M67" s="617"/>
    </row>
    <row r="68" spans="4:13" ht="15">
      <c r="F68" s="95" t="s">
        <v>274</v>
      </c>
      <c r="G68" s="96">
        <v>3</v>
      </c>
      <c r="H68" s="109" t="s">
        <v>425</v>
      </c>
      <c r="I68" s="605" t="s">
        <v>428</v>
      </c>
      <c r="J68" s="605"/>
      <c r="K68" s="605"/>
      <c r="L68" s="605"/>
      <c r="M68" s="606"/>
    </row>
    <row r="69" spans="4:13" ht="33" customHeight="1">
      <c r="F69" s="98" t="s">
        <v>389</v>
      </c>
      <c r="G69" s="99">
        <v>1</v>
      </c>
      <c r="H69" s="110" t="s">
        <v>429</v>
      </c>
      <c r="I69" s="610" t="s">
        <v>430</v>
      </c>
      <c r="J69" s="611"/>
      <c r="K69" s="611"/>
      <c r="L69" s="611"/>
      <c r="M69" s="612"/>
    </row>
    <row r="70" spans="4:13" ht="15">
      <c r="F70" s="55" t="s">
        <v>389</v>
      </c>
      <c r="G70" s="57">
        <v>2</v>
      </c>
      <c r="H70" s="109" t="s">
        <v>429</v>
      </c>
      <c r="I70" s="607" t="s">
        <v>431</v>
      </c>
      <c r="J70" s="608"/>
      <c r="K70" s="608"/>
      <c r="L70" s="608"/>
      <c r="M70" s="609"/>
    </row>
    <row r="71" spans="4:13">
      <c r="H71" s="111"/>
    </row>
    <row r="72" spans="4:13">
      <c r="H72" s="111"/>
    </row>
    <row r="76" spans="4:13" ht="12.75" customHeight="1">
      <c r="H76" s="603" t="s">
        <v>432</v>
      </c>
      <c r="J76" s="603" t="s">
        <v>433</v>
      </c>
      <c r="K76" s="603"/>
      <c r="L76" s="603"/>
      <c r="M76" s="603"/>
    </row>
    <row r="77" spans="4:13">
      <c r="H77" s="603"/>
      <c r="J77" s="603"/>
      <c r="K77" s="603"/>
      <c r="L77" s="603"/>
      <c r="M77" s="603"/>
    </row>
    <row r="78" spans="4:13">
      <c r="H78" s="603"/>
      <c r="J78" s="603"/>
      <c r="K78" s="603"/>
      <c r="L78" s="603"/>
      <c r="M78" s="603"/>
    </row>
    <row r="79" spans="4:13">
      <c r="H79" s="603"/>
      <c r="J79" s="603"/>
      <c r="K79" s="603"/>
      <c r="L79" s="603"/>
      <c r="M79" s="603"/>
    </row>
  </sheetData>
  <mergeCells count="30">
    <mergeCell ref="F27:F30"/>
    <mergeCell ref="J36:L36"/>
    <mergeCell ref="N8:Q11"/>
    <mergeCell ref="J11:L11"/>
    <mergeCell ref="L24:M26"/>
    <mergeCell ref="I26:J30"/>
    <mergeCell ref="I66:M66"/>
    <mergeCell ref="F54:M54"/>
    <mergeCell ref="I55:M55"/>
    <mergeCell ref="I56:M56"/>
    <mergeCell ref="I57:M57"/>
    <mergeCell ref="I58:M58"/>
    <mergeCell ref="I59:M59"/>
    <mergeCell ref="I60:M60"/>
    <mergeCell ref="B4:E6"/>
    <mergeCell ref="J14:K15"/>
    <mergeCell ref="J12:K12"/>
    <mergeCell ref="H76:H79"/>
    <mergeCell ref="J76:M79"/>
    <mergeCell ref="B31:D31"/>
    <mergeCell ref="I68:M68"/>
    <mergeCell ref="I70:M70"/>
    <mergeCell ref="I69:M69"/>
    <mergeCell ref="D63:D65"/>
    <mergeCell ref="I61:M61"/>
    <mergeCell ref="I62:M62"/>
    <mergeCell ref="I63:M63"/>
    <mergeCell ref="I64:M64"/>
    <mergeCell ref="I65:M65"/>
    <mergeCell ref="I67:M67"/>
  </mergeCells>
  <dataValidations count="1">
    <dataValidation type="list" allowBlank="1" showInputMessage="1" showErrorMessage="1" sqref="F9 F34">
      <formula1>"Seleccione, Snack, 0 Desperdicio, Plato fuerte, Desayuno"</formula1>
    </dataValidation>
  </dataValidations>
  <pageMargins left="0.7" right="0.7" top="0.75" bottom="0.75" header="0.3" footer="0.3"/>
  <pageSetup orientation="portrait"/>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INGREDIENTES!$C$7:$C$141</xm:f>
          </x14:formula1>
          <xm:sqref>C13:C21 C38:C48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966"/>
  </sheetPr>
  <dimension ref="A1:Q37"/>
  <sheetViews>
    <sheetView showGridLines="0" zoomScale="63" workbookViewId="0">
      <selection activeCell="G25" sqref="G25"/>
    </sheetView>
  </sheetViews>
  <sheetFormatPr baseColWidth="10" defaultColWidth="11.42578125" defaultRowHeight="12.75"/>
  <cols>
    <col min="1" max="1" width="3.42578125" style="8" customWidth="1"/>
    <col min="2" max="2" width="19.85546875" style="8" customWidth="1"/>
    <col min="3" max="3" width="25.5703125" style="8" customWidth="1"/>
    <col min="4" max="4" width="19.140625" style="8" bestFit="1" customWidth="1"/>
    <col min="5" max="5" width="19.140625" style="8" customWidth="1"/>
    <col min="6" max="6" width="27" style="8" customWidth="1"/>
    <col min="7" max="7" width="24.28515625" style="8" customWidth="1"/>
    <col min="8" max="8" width="21.140625" style="8" customWidth="1"/>
    <col min="9" max="9" width="14.7109375" style="8" customWidth="1"/>
    <col min="10" max="10" width="16.5703125" style="8" customWidth="1"/>
    <col min="11" max="11" width="20.85546875" style="8" customWidth="1"/>
    <col min="12" max="12" width="27" style="8" customWidth="1"/>
    <col min="13" max="16384" width="11.42578125" style="8"/>
  </cols>
  <sheetData>
    <row r="1" spans="1:17" ht="28.5">
      <c r="B1" s="23" t="s">
        <v>434</v>
      </c>
      <c r="D1" s="24"/>
    </row>
    <row r="2" spans="1:17" ht="18.75" customHeight="1">
      <c r="B2" s="26" t="s">
        <v>293</v>
      </c>
      <c r="F2" s="27" t="s">
        <v>294</v>
      </c>
      <c r="N2" s="637" t="s">
        <v>435</v>
      </c>
      <c r="O2" s="637"/>
      <c r="P2" s="637"/>
      <c r="Q2" s="637"/>
    </row>
    <row r="3" spans="1:17" ht="15.75">
      <c r="B3" s="28" t="s">
        <v>436</v>
      </c>
      <c r="F3" s="29" t="s">
        <v>360</v>
      </c>
      <c r="N3" s="637"/>
      <c r="O3" s="637"/>
      <c r="P3" s="637"/>
      <c r="Q3" s="637"/>
    </row>
    <row r="4" spans="1:17" ht="18.75">
      <c r="C4" s="27"/>
      <c r="D4" s="28"/>
      <c r="E4" s="30"/>
      <c r="N4" s="637"/>
      <c r="O4" s="637"/>
      <c r="P4" s="637"/>
      <c r="Q4" s="637"/>
    </row>
    <row r="5" spans="1:17" ht="12.95" customHeight="1">
      <c r="C5" s="32" t="s">
        <v>295</v>
      </c>
      <c r="D5" s="33">
        <f>D22</f>
        <v>4</v>
      </c>
      <c r="E5" s="34"/>
      <c r="F5" s="30"/>
      <c r="J5" s="631" t="s">
        <v>296</v>
      </c>
      <c r="K5" s="632"/>
      <c r="L5" s="633"/>
      <c r="N5" s="637"/>
      <c r="O5" s="637"/>
      <c r="P5" s="637"/>
      <c r="Q5" s="637"/>
    </row>
    <row r="6" spans="1:17" s="35" customFormat="1" ht="36">
      <c r="B6" s="36" t="s">
        <v>378</v>
      </c>
      <c r="C6" s="37" t="s">
        <v>297</v>
      </c>
      <c r="D6" s="38" t="s">
        <v>283</v>
      </c>
      <c r="E6" s="38" t="s">
        <v>285</v>
      </c>
      <c r="F6" s="38" t="s">
        <v>298</v>
      </c>
      <c r="G6" s="38" t="s">
        <v>299</v>
      </c>
      <c r="H6" s="39" t="s">
        <v>300</v>
      </c>
      <c r="I6" s="40"/>
      <c r="J6" s="75" t="s">
        <v>301</v>
      </c>
      <c r="K6" s="76" t="s">
        <v>302</v>
      </c>
      <c r="L6" s="77" t="s">
        <v>303</v>
      </c>
    </row>
    <row r="7" spans="1:17" ht="15">
      <c r="A7" s="8">
        <v>1</v>
      </c>
      <c r="B7" s="42" t="s">
        <v>437</v>
      </c>
      <c r="C7" s="43" t="s">
        <v>163</v>
      </c>
      <c r="D7" s="44" t="s">
        <v>438</v>
      </c>
      <c r="E7" s="45" t="e">
        <f ca="1">_xlfn.XLOOKUP(C7,INGREDIENTES!$C$7:$C$141,INGREDIENTES!$E$7:$E$141)</f>
        <v>#NAME?</v>
      </c>
      <c r="F7" s="46">
        <v>4</v>
      </c>
      <c r="G7" s="47" t="e">
        <f ca="1">_xlfn.XLOOKUP(C7,INGREDIENTES!$C$7:$C$141,INGREDIENTES!$G$7:$G$141)</f>
        <v>#NAME?</v>
      </c>
      <c r="H7" s="48" t="e">
        <f ca="1">F7*G7</f>
        <v>#NAME?</v>
      </c>
      <c r="J7" s="205" t="e">
        <f ca="1">_xlfn.XLOOKUP(C7,INGREDIENTES!$C$7:$C$141,INGREDIENTES!$D$7:$D$141)</f>
        <v>#NAME?</v>
      </c>
      <c r="K7" s="206" t="str">
        <f t="shared" ref="K7:K17" ca="1" si="0">IFERROR((F7*1)/J7,"-")</f>
        <v>-</v>
      </c>
      <c r="L7" s="207" t="str">
        <f t="shared" ref="L7:L17" ca="1" si="1">IFERROR(J7/F7,"-")</f>
        <v>-</v>
      </c>
    </row>
    <row r="8" spans="1:17" ht="15">
      <c r="A8" s="8">
        <v>2</v>
      </c>
      <c r="B8" s="51" t="s">
        <v>437</v>
      </c>
      <c r="C8" s="52" t="s">
        <v>158</v>
      </c>
      <c r="D8" s="53"/>
      <c r="E8" s="45" t="e">
        <f ca="1">_xlfn.XLOOKUP(C8,INGREDIENTES!$C$7:$C$141,INGREDIENTES!$E$7:$E$141)</f>
        <v>#NAME?</v>
      </c>
      <c r="F8" s="46">
        <v>140</v>
      </c>
      <c r="G8" s="47" t="e">
        <f ca="1">_xlfn.XLOOKUP(C8,INGREDIENTES!$C$7:$C$141,INGREDIENTES!$G$7:$G$141)</f>
        <v>#NAME?</v>
      </c>
      <c r="H8" s="48" t="e">
        <f t="shared" ref="H8:H17" ca="1" si="2">F8*G8</f>
        <v>#NAME?</v>
      </c>
      <c r="J8" s="205" t="e">
        <f ca="1">_xlfn.XLOOKUP(C8,INGREDIENTES!$C$7:$C$141,INGREDIENTES!$D$7:$D$141)</f>
        <v>#NAME?</v>
      </c>
      <c r="K8" s="206" t="str">
        <f t="shared" ca="1" si="0"/>
        <v>-</v>
      </c>
      <c r="L8" s="207" t="str">
        <f t="shared" ca="1" si="1"/>
        <v>-</v>
      </c>
    </row>
    <row r="9" spans="1:17" ht="15">
      <c r="A9" s="8">
        <v>3</v>
      </c>
      <c r="B9" s="51" t="s">
        <v>437</v>
      </c>
      <c r="C9" s="52" t="s">
        <v>185</v>
      </c>
      <c r="D9" s="53"/>
      <c r="E9" s="45" t="e">
        <f ca="1">_xlfn.XLOOKUP(C9,INGREDIENTES!$C$7:$C$141,INGREDIENTES!$E$7:$E$141)</f>
        <v>#NAME?</v>
      </c>
      <c r="F9" s="46">
        <v>45</v>
      </c>
      <c r="G9" s="47" t="e">
        <f ca="1">_xlfn.XLOOKUP(C9,INGREDIENTES!$C$7:$C$141,INGREDIENTES!$G$7:$G$141)</f>
        <v>#NAME?</v>
      </c>
      <c r="H9" s="48" t="e">
        <f t="shared" ca="1" si="2"/>
        <v>#NAME?</v>
      </c>
      <c r="J9" s="205" t="e">
        <f ca="1">_xlfn.XLOOKUP(C9,INGREDIENTES!$C$7:$C$141,INGREDIENTES!$D$7:$D$141)</f>
        <v>#NAME?</v>
      </c>
      <c r="K9" s="206" t="str">
        <f t="shared" ca="1" si="0"/>
        <v>-</v>
      </c>
      <c r="L9" s="207" t="str">
        <f t="shared" ca="1" si="1"/>
        <v>-</v>
      </c>
    </row>
    <row r="10" spans="1:17" ht="15">
      <c r="A10" s="8">
        <v>4</v>
      </c>
      <c r="B10" s="51" t="s">
        <v>437</v>
      </c>
      <c r="C10" s="52" t="s">
        <v>232</v>
      </c>
      <c r="D10" s="53" t="s">
        <v>439</v>
      </c>
      <c r="E10" s="45" t="e">
        <f ca="1">_xlfn.XLOOKUP(C10,INGREDIENTES!$C$7:$C$141,INGREDIENTES!$E$7:$E$141)</f>
        <v>#NAME?</v>
      </c>
      <c r="F10" s="46">
        <v>28</v>
      </c>
      <c r="G10" s="47" t="e">
        <f ca="1">_xlfn.XLOOKUP(C10,INGREDIENTES!$C$7:$C$141,INGREDIENTES!$G$7:$G$141)</f>
        <v>#NAME?</v>
      </c>
      <c r="H10" s="48" t="e">
        <f t="shared" ca="1" si="2"/>
        <v>#NAME?</v>
      </c>
      <c r="J10" s="205" t="e">
        <f ca="1">_xlfn.XLOOKUP(C10,INGREDIENTES!$C$7:$C$141,INGREDIENTES!$D$7:$D$141)</f>
        <v>#NAME?</v>
      </c>
      <c r="K10" s="206" t="str">
        <f t="shared" ca="1" si="0"/>
        <v>-</v>
      </c>
      <c r="L10" s="207" t="str">
        <f t="shared" ca="1" si="1"/>
        <v>-</v>
      </c>
    </row>
    <row r="11" spans="1:17" ht="15">
      <c r="A11" s="8">
        <v>5</v>
      </c>
      <c r="B11" s="51" t="s">
        <v>437</v>
      </c>
      <c r="C11" s="43" t="s">
        <v>98</v>
      </c>
      <c r="D11" s="44" t="s">
        <v>386</v>
      </c>
      <c r="E11" s="45" t="e">
        <f ca="1">_xlfn.XLOOKUP(C11,INGREDIENTES!$C$7:$C$141,INGREDIENTES!$E$7:$E$141)</f>
        <v>#NAME?</v>
      </c>
      <c r="F11" s="46">
        <v>16</v>
      </c>
      <c r="G11" s="47" t="e">
        <f ca="1">_xlfn.XLOOKUP(C11,INGREDIENTES!$C$7:$C$141,INGREDIENTES!$G$7:$G$141)</f>
        <v>#NAME?</v>
      </c>
      <c r="H11" s="48" t="e">
        <f t="shared" ca="1" si="2"/>
        <v>#NAME?</v>
      </c>
      <c r="J11" s="205" t="e">
        <f ca="1">_xlfn.XLOOKUP(C11,INGREDIENTES!$C$7:$C$141,INGREDIENTES!$D$7:$D$141)</f>
        <v>#NAME?</v>
      </c>
      <c r="K11" s="206" t="str">
        <f t="shared" ca="1" si="0"/>
        <v>-</v>
      </c>
      <c r="L11" s="207" t="str">
        <f t="shared" ca="1" si="1"/>
        <v>-</v>
      </c>
    </row>
    <row r="12" spans="1:17" ht="15">
      <c r="A12" s="8">
        <v>6</v>
      </c>
      <c r="B12" s="51" t="s">
        <v>440</v>
      </c>
      <c r="C12" s="52" t="s">
        <v>441</v>
      </c>
      <c r="D12" s="53" t="s">
        <v>442</v>
      </c>
      <c r="E12" s="45" t="e">
        <f ca="1">_xlfn.XLOOKUP(C12,INGREDIENTES!$C$7:$C$141,INGREDIENTES!$E$7:$E$141)</f>
        <v>#NAME?</v>
      </c>
      <c r="F12" s="46">
        <v>56</v>
      </c>
      <c r="G12" s="47" t="e">
        <f ca="1">_xlfn.XLOOKUP(C12,INGREDIENTES!$C$7:$C$141,INGREDIENTES!$G$7:$G$141)</f>
        <v>#NAME?</v>
      </c>
      <c r="H12" s="48" t="e">
        <f t="shared" ca="1" si="2"/>
        <v>#NAME?</v>
      </c>
      <c r="J12" s="205" t="e">
        <f ca="1">_xlfn.XLOOKUP(C12,INGREDIENTES!$C$7:$C$141,INGREDIENTES!$D$7:$D$141)</f>
        <v>#NAME?</v>
      </c>
      <c r="K12" s="206" t="str">
        <f t="shared" ca="1" si="0"/>
        <v>-</v>
      </c>
      <c r="L12" s="207" t="str">
        <f t="shared" ca="1" si="1"/>
        <v>-</v>
      </c>
    </row>
    <row r="13" spans="1:17" ht="15">
      <c r="A13" s="8">
        <v>7</v>
      </c>
      <c r="B13" s="51" t="s">
        <v>440</v>
      </c>
      <c r="C13" s="52" t="s">
        <v>443</v>
      </c>
      <c r="D13" s="53" t="s">
        <v>444</v>
      </c>
      <c r="E13" s="45" t="e">
        <f ca="1">_xlfn.XLOOKUP(C13,INGREDIENTES!$C$7:$C$141,INGREDIENTES!$E$7:$E$141)</f>
        <v>#NAME?</v>
      </c>
      <c r="F13" s="46">
        <v>56</v>
      </c>
      <c r="G13" s="47" t="e">
        <f ca="1">_xlfn.XLOOKUP(C13,INGREDIENTES!$C$7:$C$141,INGREDIENTES!$G$7:$G$141)</f>
        <v>#NAME?</v>
      </c>
      <c r="H13" s="48" t="e">
        <f t="shared" ca="1" si="2"/>
        <v>#NAME?</v>
      </c>
      <c r="J13" s="205" t="e">
        <f ca="1">_xlfn.XLOOKUP(C13,INGREDIENTES!$C$7:$C$141,INGREDIENTES!$D$7:$D$141)</f>
        <v>#NAME?</v>
      </c>
      <c r="K13" s="206" t="str">
        <f t="shared" ca="1" si="0"/>
        <v>-</v>
      </c>
      <c r="L13" s="207" t="str">
        <f t="shared" ca="1" si="1"/>
        <v>-</v>
      </c>
    </row>
    <row r="14" spans="1:17" ht="15">
      <c r="A14" s="8">
        <v>8</v>
      </c>
      <c r="B14" s="51" t="s">
        <v>440</v>
      </c>
      <c r="C14" s="52" t="s">
        <v>212</v>
      </c>
      <c r="D14" s="53" t="s">
        <v>445</v>
      </c>
      <c r="E14" s="45" t="e">
        <f ca="1">_xlfn.XLOOKUP(C14,INGREDIENTES!$C$7:$C$141,INGREDIENTES!$E$7:$E$141)</f>
        <v>#NAME?</v>
      </c>
      <c r="F14" s="46">
        <v>56</v>
      </c>
      <c r="G14" s="47" t="e">
        <f ca="1">_xlfn.XLOOKUP(C14,INGREDIENTES!$C$7:$C$141,INGREDIENTES!$G$7:$G$141)</f>
        <v>#NAME?</v>
      </c>
      <c r="H14" s="48" t="e">
        <f t="shared" ca="1" si="2"/>
        <v>#NAME?</v>
      </c>
      <c r="J14" s="205" t="e">
        <f ca="1">_xlfn.XLOOKUP(C14,INGREDIENTES!$C$7:$C$141,INGREDIENTES!$D$7:$D$141)</f>
        <v>#NAME?</v>
      </c>
      <c r="K14" s="206" t="str">
        <f t="shared" ca="1" si="0"/>
        <v>-</v>
      </c>
      <c r="L14" s="207" t="str">
        <f t="shared" ca="1" si="1"/>
        <v>-</v>
      </c>
    </row>
    <row r="15" spans="1:17" ht="15">
      <c r="A15" s="8">
        <v>9</v>
      </c>
      <c r="B15" s="51" t="s">
        <v>446</v>
      </c>
      <c r="C15" s="79" t="s">
        <v>66</v>
      </c>
      <c r="D15" s="80" t="s">
        <v>447</v>
      </c>
      <c r="E15" s="208" t="e">
        <f ca="1">_xlfn.XLOOKUP(C15,INGREDIENTES!$C$7:$C$141,INGREDIENTES!$E$7:$E$141)</f>
        <v>#NAME?</v>
      </c>
      <c r="F15" s="81">
        <v>140</v>
      </c>
      <c r="G15" s="209" t="e">
        <f ca="1">_xlfn.XLOOKUP(C15,INGREDIENTES!$C$7:$C$141,INGREDIENTES!$G$7:$G$141)</f>
        <v>#NAME?</v>
      </c>
      <c r="H15" s="210" t="e">
        <f t="shared" ca="1" si="2"/>
        <v>#NAME?</v>
      </c>
      <c r="J15" s="205" t="e">
        <f ca="1">_xlfn.XLOOKUP(C15,INGREDIENTES!$C$7:$C$141,INGREDIENTES!$D$7:$D$141)</f>
        <v>#NAME?</v>
      </c>
      <c r="K15" s="206" t="str">
        <f t="shared" ca="1" si="0"/>
        <v>-</v>
      </c>
      <c r="L15" s="207" t="str">
        <f t="shared" ca="1" si="1"/>
        <v>-</v>
      </c>
    </row>
    <row r="16" spans="1:17" ht="15">
      <c r="A16" s="8">
        <v>10</v>
      </c>
      <c r="B16" s="51" t="s">
        <v>446</v>
      </c>
      <c r="C16" s="79" t="s">
        <v>88</v>
      </c>
      <c r="D16" s="80"/>
      <c r="E16" s="208" t="e">
        <f ca="1">_xlfn.XLOOKUP(C16,INGREDIENTES!$C$7:$C$141,INGREDIENTES!$E$7:$E$141)</f>
        <v>#NAME?</v>
      </c>
      <c r="F16" s="81">
        <v>60</v>
      </c>
      <c r="G16" s="209" t="e">
        <f ca="1">_xlfn.XLOOKUP(C16,INGREDIENTES!$C$7:$C$141,INGREDIENTES!$G$7:$G$141)</f>
        <v>#NAME?</v>
      </c>
      <c r="H16" s="210" t="e">
        <f t="shared" ca="1" si="2"/>
        <v>#NAME?</v>
      </c>
      <c r="J16" s="205" t="e">
        <f ca="1">_xlfn.XLOOKUP(C16,INGREDIENTES!$C$7:$C$141,INGREDIENTES!$D$7:$D$141)</f>
        <v>#NAME?</v>
      </c>
      <c r="K16" s="206" t="str">
        <f t="shared" ca="1" si="0"/>
        <v>-</v>
      </c>
      <c r="L16" s="207" t="str">
        <f t="shared" ca="1" si="1"/>
        <v>-</v>
      </c>
    </row>
    <row r="17" spans="1:13" ht="15">
      <c r="A17" s="8">
        <v>11</v>
      </c>
      <c r="B17" s="55" t="s">
        <v>448</v>
      </c>
      <c r="C17" s="82" t="s">
        <v>200</v>
      </c>
      <c r="D17" s="211" t="s">
        <v>407</v>
      </c>
      <c r="E17" s="212" t="e">
        <f ca="1">_xlfn.XLOOKUP(C17,INGREDIENTES!$C$7:$C$141,INGREDIENTES!$E$7:$E$141)</f>
        <v>#NAME?</v>
      </c>
      <c r="F17" s="84">
        <v>600</v>
      </c>
      <c r="G17" s="213" t="e">
        <f ca="1">_xlfn.XLOOKUP(C17,INGREDIENTES!$C$7:$C$141,INGREDIENTES!$G$7:$G$141)</f>
        <v>#NAME?</v>
      </c>
      <c r="H17" s="214" t="e">
        <f t="shared" ca="1" si="2"/>
        <v>#NAME?</v>
      </c>
      <c r="J17" s="215" t="e">
        <f ca="1">_xlfn.XLOOKUP(C17,INGREDIENTES!$C$7:$C$141,INGREDIENTES!$D$7:$D$141)</f>
        <v>#NAME?</v>
      </c>
      <c r="K17" s="216" t="str">
        <f t="shared" ca="1" si="0"/>
        <v>-</v>
      </c>
      <c r="L17" s="217" t="str">
        <f t="shared" ca="1" si="1"/>
        <v>-</v>
      </c>
    </row>
    <row r="18" spans="1:13" ht="8.25" customHeight="1">
      <c r="C18" s="60"/>
      <c r="D18" s="60"/>
      <c r="E18" s="60"/>
      <c r="F18" s="60"/>
      <c r="G18" s="60"/>
      <c r="H18" s="60"/>
      <c r="I18" s="60"/>
    </row>
    <row r="19" spans="1:13">
      <c r="C19" s="9"/>
      <c r="D19" s="10"/>
      <c r="E19" s="11" t="s">
        <v>304</v>
      </c>
      <c r="F19" s="61">
        <f>SUM(F7:F17)</f>
        <v>1201</v>
      </c>
      <c r="G19" s="12" t="str">
        <f>C24</f>
        <v>COSTO PRODUCCIÓN RECETA</v>
      </c>
      <c r="H19" s="62">
        <f ca="1">SUMIF(H7:H17,"&gt;0")</f>
        <v>0</v>
      </c>
    </row>
    <row r="20" spans="1:13" ht="20.25" customHeight="1">
      <c r="G20" s="13" t="s">
        <v>397</v>
      </c>
      <c r="H20" s="14" t="str">
        <f>IF(F3="Desayuno", "$9.000", IF(F3= "Snack", "$8.000", IF(F3= "Plato fuerte", "$10.000", "$8.000")))</f>
        <v>$9.000</v>
      </c>
      <c r="L20" s="637" t="s">
        <v>449</v>
      </c>
      <c r="M20" s="637"/>
    </row>
    <row r="21" spans="1:13" ht="25.5">
      <c r="C21" s="15" t="s">
        <v>311</v>
      </c>
      <c r="D21" s="16">
        <f>F19</f>
        <v>1201</v>
      </c>
      <c r="H21" s="17"/>
      <c r="L21" s="637"/>
      <c r="M21" s="637"/>
    </row>
    <row r="22" spans="1:13" ht="12.75" customHeight="1">
      <c r="C22" s="18" t="s">
        <v>315</v>
      </c>
      <c r="D22" s="63">
        <v>4</v>
      </c>
      <c r="H22" s="17"/>
      <c r="I22" s="638" t="s">
        <v>450</v>
      </c>
      <c r="J22" s="638"/>
      <c r="L22" s="637"/>
      <c r="M22" s="637"/>
    </row>
    <row r="23" spans="1:13" ht="12.75" customHeight="1">
      <c r="C23" s="66" t="s">
        <v>318</v>
      </c>
      <c r="D23" s="67">
        <f>F19/D22</f>
        <v>300.25</v>
      </c>
      <c r="E23" s="19"/>
      <c r="F23" s="635" t="s">
        <v>451</v>
      </c>
      <c r="G23" s="20"/>
      <c r="H23" s="17"/>
      <c r="I23" s="638"/>
      <c r="J23" s="638"/>
      <c r="L23" s="70"/>
      <c r="M23" s="70"/>
    </row>
    <row r="24" spans="1:13">
      <c r="C24" s="18" t="s">
        <v>320</v>
      </c>
      <c r="D24" s="21">
        <f ca="1">H19</f>
        <v>0</v>
      </c>
      <c r="F24" s="635"/>
      <c r="I24" s="638"/>
      <c r="J24" s="638"/>
      <c r="L24" s="70"/>
      <c r="M24" s="70"/>
    </row>
    <row r="25" spans="1:13">
      <c r="C25" s="22" t="s">
        <v>325</v>
      </c>
      <c r="D25" s="71">
        <f ca="1">D24/D22</f>
        <v>0</v>
      </c>
      <c r="F25" s="635"/>
      <c r="H25" s="17"/>
      <c r="I25" s="638"/>
      <c r="J25" s="638"/>
      <c r="L25" s="70"/>
      <c r="M25" s="70"/>
    </row>
    <row r="26" spans="1:13">
      <c r="A26" s="72"/>
      <c r="C26" s="72"/>
      <c r="F26" s="635"/>
      <c r="H26" s="17"/>
      <c r="I26" s="638"/>
      <c r="J26" s="638"/>
    </row>
    <row r="27" spans="1:13">
      <c r="F27" s="635"/>
      <c r="H27" s="17"/>
    </row>
    <row r="28" spans="1:13" ht="12.75" customHeight="1">
      <c r="B28" s="636" t="s">
        <v>452</v>
      </c>
      <c r="F28" s="635"/>
      <c r="H28" s="17"/>
    </row>
    <row r="29" spans="1:13">
      <c r="B29" s="636"/>
      <c r="H29" s="17"/>
    </row>
    <row r="30" spans="1:13">
      <c r="B30" s="636"/>
    </row>
    <row r="31" spans="1:13">
      <c r="B31" s="636"/>
    </row>
    <row r="32" spans="1:13">
      <c r="B32" s="636"/>
      <c r="H32" s="17"/>
    </row>
    <row r="33" spans="2:2">
      <c r="B33" s="636"/>
    </row>
    <row r="34" spans="2:2">
      <c r="B34" s="636"/>
    </row>
    <row r="35" spans="2:2">
      <c r="B35" s="636"/>
    </row>
    <row r="36" spans="2:2">
      <c r="B36" s="636"/>
    </row>
    <row r="37" spans="2:2">
      <c r="B37" s="636"/>
    </row>
  </sheetData>
  <sheetProtection algorithmName="SHA-512" hashValue="aTLGZd0vedn+kVp6tCbhsL18cCWIvs2OoRjZCTTW3sx6o4tuUOThlCHDdSetVopw/7Rz6YIPVM6+qFDiKsb4dw==" saltValue="yMengiBepw3O6cyoNxNUaQ==" spinCount="100000" sheet="1" objects="1" scenarios="1"/>
  <mergeCells count="6">
    <mergeCell ref="F23:F28"/>
    <mergeCell ref="B28:B37"/>
    <mergeCell ref="J5:L5"/>
    <mergeCell ref="N2:Q5"/>
    <mergeCell ref="L20:M22"/>
    <mergeCell ref="I22:J26"/>
  </mergeCells>
  <dataValidations count="1">
    <dataValidation type="list" allowBlank="1" showInputMessage="1" showErrorMessage="1" sqref="F3">
      <formula1>"Seleccione, Snack, 0 Desperdicio, Plato fuerte, Desayuno"</formula1>
    </dataValidation>
  </dataValidations>
  <pageMargins left="0.7" right="0.7" top="0.75" bottom="0.75" header="0.3" footer="0.3"/>
  <pageSetup orientation="portrait"/>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INGREDIENTES!$C$7:$C$141</xm:f>
          </x14:formula1>
          <xm:sqref>C7:C17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966"/>
  </sheetPr>
  <dimension ref="A1:AH41"/>
  <sheetViews>
    <sheetView showGridLines="0" topLeftCell="B1" zoomScale="90" zoomScaleNormal="90" workbookViewId="0">
      <selection activeCell="B24" sqref="B24"/>
    </sheetView>
  </sheetViews>
  <sheetFormatPr baseColWidth="10" defaultColWidth="8.7109375" defaultRowHeight="15"/>
  <cols>
    <col min="1" max="1" width="9.140625" style="112"/>
    <col min="2" max="2" width="37.28515625" style="112" customWidth="1"/>
    <col min="3" max="3" width="33.28515625" style="112" customWidth="1"/>
    <col min="4" max="4" width="19.42578125" style="112" bestFit="1" customWidth="1"/>
    <col min="5" max="5" width="13.5703125" style="112" customWidth="1"/>
    <col min="6" max="6" width="9.140625" style="112"/>
    <col min="7" max="7" width="10.28515625" style="112" bestFit="1" customWidth="1"/>
    <col min="8" max="8" width="10.42578125" style="112" customWidth="1"/>
    <col min="9" max="12" width="9.140625" style="112"/>
    <col min="13" max="13" width="11.42578125" style="112" customWidth="1"/>
    <col min="14" max="14" width="11.140625" style="112" customWidth="1"/>
    <col min="15" max="15" width="9.140625" style="112"/>
    <col min="16" max="16" width="11.7109375" style="112" customWidth="1"/>
    <col min="17" max="17" width="16.5703125" style="112" customWidth="1"/>
    <col min="18" max="18" width="11" style="112" customWidth="1"/>
    <col min="19" max="19" width="9.140625" style="112"/>
    <col min="20" max="20" width="11.140625" style="112" customWidth="1"/>
    <col min="21" max="22" width="9.140625" style="112"/>
    <col min="23" max="23" width="13.42578125" style="112" customWidth="1"/>
    <col min="24" max="24" width="3.7109375" style="112" customWidth="1"/>
    <col min="25" max="16384" width="8.7109375" style="113"/>
  </cols>
  <sheetData>
    <row r="1" spans="1:24">
      <c r="B1" s="112" t="s">
        <v>331</v>
      </c>
    </row>
    <row r="2" spans="1:24" ht="26.25">
      <c r="B2" s="641" t="s">
        <v>306</v>
      </c>
      <c r="C2" s="642"/>
      <c r="D2" s="642"/>
      <c r="E2" s="642"/>
      <c r="F2" s="642"/>
      <c r="G2" s="642"/>
      <c r="H2" s="642"/>
      <c r="I2" s="642"/>
      <c r="J2" s="642"/>
      <c r="K2" s="642"/>
      <c r="L2" s="642"/>
      <c r="M2" s="642"/>
      <c r="N2" s="642"/>
      <c r="O2" s="642"/>
      <c r="P2" s="642"/>
      <c r="Q2" s="642"/>
      <c r="R2" s="642"/>
      <c r="S2" s="642"/>
      <c r="T2" s="642"/>
      <c r="U2" s="642"/>
      <c r="V2" s="642"/>
      <c r="W2" s="643"/>
      <c r="X2" s="114"/>
    </row>
    <row r="3" spans="1:24" ht="18.75">
      <c r="A3" s="115"/>
      <c r="B3" s="644" t="s">
        <v>332</v>
      </c>
      <c r="C3" s="647" t="s">
        <v>453</v>
      </c>
      <c r="D3" s="648"/>
      <c r="E3" s="649"/>
      <c r="F3" s="653" t="s">
        <v>312</v>
      </c>
      <c r="G3" s="653"/>
      <c r="H3" s="653"/>
      <c r="I3" s="653"/>
      <c r="J3" s="653"/>
      <c r="K3" s="653"/>
      <c r="L3" s="653"/>
      <c r="M3" s="653"/>
      <c r="N3" s="653"/>
      <c r="O3" s="653"/>
      <c r="P3" s="653"/>
      <c r="Q3" s="653"/>
      <c r="R3" s="654"/>
      <c r="S3" s="655" t="s">
        <v>321</v>
      </c>
      <c r="T3" s="656"/>
      <c r="U3" s="656"/>
      <c r="V3" s="656"/>
      <c r="W3" s="657"/>
      <c r="X3" s="116"/>
    </row>
    <row r="4" spans="1:24" ht="18.75">
      <c r="A4" s="115"/>
      <c r="B4" s="645"/>
      <c r="C4" s="650"/>
      <c r="D4" s="651"/>
      <c r="E4" s="652"/>
      <c r="F4" s="655" t="s">
        <v>274</v>
      </c>
      <c r="G4" s="656"/>
      <c r="H4" s="657"/>
      <c r="I4" s="655" t="s">
        <v>334</v>
      </c>
      <c r="J4" s="656"/>
      <c r="K4" s="658"/>
      <c r="L4" s="659" t="s">
        <v>275</v>
      </c>
      <c r="M4" s="656"/>
      <c r="N4" s="657"/>
      <c r="O4" s="655" t="s">
        <v>335</v>
      </c>
      <c r="P4" s="656"/>
      <c r="Q4" s="657"/>
      <c r="R4" s="660" t="s">
        <v>336</v>
      </c>
      <c r="S4" s="659" t="s">
        <v>276</v>
      </c>
      <c r="T4" s="656"/>
      <c r="U4" s="657"/>
      <c r="V4" s="662" t="s">
        <v>277</v>
      </c>
      <c r="W4" s="663"/>
      <c r="X4" s="117"/>
    </row>
    <row r="5" spans="1:24" ht="31.5">
      <c r="B5" s="646"/>
      <c r="C5" s="433" t="s">
        <v>337</v>
      </c>
      <c r="D5" s="118" t="s">
        <v>338</v>
      </c>
      <c r="E5" s="122" t="s">
        <v>314</v>
      </c>
      <c r="F5" s="118" t="s">
        <v>314</v>
      </c>
      <c r="G5" s="121" t="s">
        <v>339</v>
      </c>
      <c r="H5" s="122" t="s">
        <v>340</v>
      </c>
      <c r="I5" s="118" t="s">
        <v>314</v>
      </c>
      <c r="J5" s="121" t="s">
        <v>339</v>
      </c>
      <c r="K5" s="119" t="s">
        <v>340</v>
      </c>
      <c r="L5" s="120" t="s">
        <v>314</v>
      </c>
      <c r="M5" s="121" t="s">
        <v>339</v>
      </c>
      <c r="N5" s="122" t="s">
        <v>340</v>
      </c>
      <c r="O5" s="118" t="s">
        <v>314</v>
      </c>
      <c r="P5" s="121" t="s">
        <v>341</v>
      </c>
      <c r="Q5" s="122" t="s">
        <v>340</v>
      </c>
      <c r="R5" s="661"/>
      <c r="S5" s="120" t="s">
        <v>314</v>
      </c>
      <c r="T5" s="121" t="s">
        <v>339</v>
      </c>
      <c r="U5" s="122" t="s">
        <v>340</v>
      </c>
      <c r="V5" s="118" t="s">
        <v>342</v>
      </c>
      <c r="W5" s="123" t="s">
        <v>343</v>
      </c>
      <c r="X5" s="124"/>
    </row>
    <row r="6" spans="1:24" ht="15" customHeight="1">
      <c r="B6" s="664" t="str">
        <f>'EJEMPLO RECETA DESAYUNO'!B3</f>
        <v>Montadito de arepa con porción de fruta y bebida</v>
      </c>
      <c r="C6" s="218" t="str">
        <f>'EJEMPLO RECETA DESAYUNO'!C7</f>
        <v>Huevos</v>
      </c>
      <c r="D6" s="135" cm="1">
        <f t="array" ref="D6">_xlfn.XLOOKUP(C6,'EJEMPLO RECETA DESAYUNO'!C$7:$C$17,'EJEMPLO RECETA DESAYUNO'!$F$7:$F$17)</f>
        <v>4</v>
      </c>
      <c r="E6" s="219">
        <f t="shared" ref="E6:E16" si="0">IFERROR((D6/D$18)*100," ")</f>
        <v>0.33305578684429643</v>
      </c>
      <c r="F6" s="220" t="str">
        <f ca="1">IFERROR(_xlfn.XLOOKUP(C6,INGREDIENTES!$C$7:$C$141,INGREDIENTES!$L$7:$L$141)," ")</f>
        <v xml:space="preserve"> </v>
      </c>
      <c r="G6" s="125" t="str">
        <f ca="1">IFERROR((D6*F6)/100," ")</f>
        <v xml:space="preserve"> </v>
      </c>
      <c r="H6" s="126" t="str">
        <f ca="1">IFERROR(4*G6," ")</f>
        <v xml:space="preserve"> </v>
      </c>
      <c r="I6" s="127" t="str">
        <f ca="1">IFERROR(_xlfn.XLOOKUP(C6,INGREDIENTES!$C$7:$C$141,INGREDIENTES!$M$7:$M$141)," ")</f>
        <v xml:space="preserve"> </v>
      </c>
      <c r="J6" s="125" t="str">
        <f ca="1">IFERROR((I6*D6)/100," ")</f>
        <v xml:space="preserve"> </v>
      </c>
      <c r="K6" s="128" t="str">
        <f ca="1">IFERROR(9*J6," ")</f>
        <v xml:space="preserve"> </v>
      </c>
      <c r="L6" s="129" t="str">
        <f ca="1">IFERROR(_xlfn.XLOOKUP(C6,INGREDIENTES!$C$7:$C$141,INGREDIENTES!$N$7:$N$141)," ")</f>
        <v xml:space="preserve"> </v>
      </c>
      <c r="M6" s="125" t="str">
        <f ca="1">IFERROR((L6*D6)/100," ")</f>
        <v xml:space="preserve"> </v>
      </c>
      <c r="N6" s="126" t="str">
        <f ca="1">IFERROR(4*M6," ")</f>
        <v xml:space="preserve"> </v>
      </c>
      <c r="O6" s="127" t="str">
        <f ca="1">IFERROR(100-(F6+I6+L6)," ")</f>
        <v xml:space="preserve"> </v>
      </c>
      <c r="P6" s="125" t="str">
        <f ca="1">IFERROR((D6*O6)/100," ")</f>
        <v xml:space="preserve"> </v>
      </c>
      <c r="Q6" s="130" t="str">
        <f ca="1">IFERROR(0*P6," ")</f>
        <v xml:space="preserve"> </v>
      </c>
      <c r="R6" s="221" t="str">
        <f ca="1">IFERROR(H6+K6+N6+Q6," ")</f>
        <v xml:space="preserve"> </v>
      </c>
      <c r="S6" s="222" t="str">
        <f ca="1">IFERROR(_xlfn.XLOOKUP(C6,INGREDIENTES!$C$7:$C$141,INGREDIENTES!$O$7:$O$141)," ")</f>
        <v xml:space="preserve"> </v>
      </c>
      <c r="T6" s="125" t="str">
        <f ca="1">IFERROR((S6*D6)/100," ")</f>
        <v xml:space="preserve"> </v>
      </c>
      <c r="U6" s="131" t="str">
        <f ca="1">IFERROR(T6*2," ")</f>
        <v xml:space="preserve"> </v>
      </c>
      <c r="V6" s="132" t="str">
        <f ca="1">IFERROR(_xlfn.XLOOKUP(C6,INGREDIENTES!$C$7:$C$141,INGREDIENTES!$P$7:$P$141)," ")</f>
        <v xml:space="preserve"> </v>
      </c>
      <c r="W6" s="133" t="str">
        <f ca="1">IFERROR((V6*D6)/100," ")</f>
        <v xml:space="preserve"> </v>
      </c>
      <c r="X6" s="134"/>
    </row>
    <row r="7" spans="1:24" ht="15.75">
      <c r="B7" s="665"/>
      <c r="C7" s="218" t="str">
        <f>'EJEMPLO RECETA DESAYUNO'!C8</f>
        <v>Harina de maíz</v>
      </c>
      <c r="D7" s="135" cm="1">
        <f t="array" ref="D7">_xlfn.XLOOKUP(C7,'EJEMPLO RECETA DESAYUNO'!C$7:$C$17,'EJEMPLO RECETA DESAYUNO'!$F$7:$F$17)</f>
        <v>140</v>
      </c>
      <c r="E7" s="223">
        <f t="shared" si="0"/>
        <v>11.656952539550375</v>
      </c>
      <c r="F7" s="224" t="str">
        <f ca="1">IFERROR(_xlfn.XLOOKUP(C7,INGREDIENTES!$C$7:$C$141,INGREDIENTES!$L$7:$L$141)," ")</f>
        <v xml:space="preserve"> </v>
      </c>
      <c r="G7" s="136" t="str">
        <f t="shared" ref="G7:G16" ca="1" si="1">IFERROR((D7*F7)/100," ")</f>
        <v xml:space="preserve"> </v>
      </c>
      <c r="H7" s="137" t="str">
        <f t="shared" ref="H7:H16" ca="1" si="2">IFERROR(4*G7," ")</f>
        <v xml:space="preserve"> </v>
      </c>
      <c r="I7" s="138" t="str">
        <f ca="1">IFERROR(_xlfn.XLOOKUP(C7,INGREDIENTES!$C$7:$C$141,INGREDIENTES!$M$7:$M$141)," ")</f>
        <v xml:space="preserve"> </v>
      </c>
      <c r="J7" s="136" t="str">
        <f t="shared" ref="J7:J16" ca="1" si="3">IFERROR((I7*D7)/100," ")</f>
        <v xml:space="preserve"> </v>
      </c>
      <c r="K7" s="139" t="str">
        <f t="shared" ref="K7:K16" ca="1" si="4">IFERROR(9*J7," ")</f>
        <v xml:space="preserve"> </v>
      </c>
      <c r="L7" s="140" t="str">
        <f ca="1">IFERROR(_xlfn.XLOOKUP(C7,INGREDIENTES!$C$7:$C$141,INGREDIENTES!$N$7:$N$141)," ")</f>
        <v xml:space="preserve"> </v>
      </c>
      <c r="M7" s="136" t="str">
        <f t="shared" ref="M7:M16" ca="1" si="5">IFERROR((L7*D7)/100," ")</f>
        <v xml:space="preserve"> </v>
      </c>
      <c r="N7" s="137" t="str">
        <f t="shared" ref="N7:N16" ca="1" si="6">IFERROR(4*M7," ")</f>
        <v xml:space="preserve"> </v>
      </c>
      <c r="O7" s="138" t="str">
        <f t="shared" ref="O7:O16" ca="1" si="7">IFERROR(100-(F7+I7+L7)," ")</f>
        <v xml:space="preserve"> </v>
      </c>
      <c r="P7" s="136" t="str">
        <f t="shared" ref="P7:P16" ca="1" si="8">IFERROR((D7*O7)/100," ")</f>
        <v xml:space="preserve"> </v>
      </c>
      <c r="Q7" s="141" t="str">
        <f t="shared" ref="Q7:Q16" ca="1" si="9">IFERROR(0*P7," ")</f>
        <v xml:space="preserve"> </v>
      </c>
      <c r="R7" s="225" t="str">
        <f t="shared" ref="R7:R16" ca="1" si="10">IFERROR(H7+K7+N7+Q7," ")</f>
        <v xml:space="preserve"> </v>
      </c>
      <c r="S7" s="226" t="str">
        <f ca="1">IFERROR(_xlfn.XLOOKUP(C7,INGREDIENTES!$C$7:$C$141,INGREDIENTES!$O$7:$O$141)," ")</f>
        <v xml:space="preserve"> </v>
      </c>
      <c r="T7" s="136" t="str">
        <f t="shared" ref="T7:T16" ca="1" si="11">IFERROR((S7*D7)/100," ")</f>
        <v xml:space="preserve"> </v>
      </c>
      <c r="U7" s="142" t="str">
        <f t="shared" ref="U7:U16" ca="1" si="12">IFERROR(T7*2," ")</f>
        <v xml:space="preserve"> </v>
      </c>
      <c r="V7" s="143" t="str">
        <f ca="1">IFERROR(_xlfn.XLOOKUP(C7,INGREDIENTES!$C$7:$C$141,INGREDIENTES!$P$7:$P$141)," ")</f>
        <v xml:space="preserve"> </v>
      </c>
      <c r="W7" s="144" t="str">
        <f t="shared" ref="W7:W16" ca="1" si="13">IFERROR((V7*D7)/100," ")</f>
        <v xml:space="preserve"> </v>
      </c>
      <c r="X7" s="145"/>
    </row>
    <row r="8" spans="1:24" ht="15.75">
      <c r="B8" s="665"/>
      <c r="C8" s="218" t="str">
        <f>'EJEMPLO RECETA DESAYUNO'!C9</f>
        <v>Mantequilla</v>
      </c>
      <c r="D8" s="135" cm="1">
        <f t="array" ref="D8">_xlfn.XLOOKUP(C8,'EJEMPLO RECETA DESAYUNO'!C$7:$C$17,'EJEMPLO RECETA DESAYUNO'!$F$7:$F$17)</f>
        <v>45</v>
      </c>
      <c r="E8" s="223">
        <f t="shared" si="0"/>
        <v>3.7468776019983352</v>
      </c>
      <c r="F8" s="224" t="str">
        <f ca="1">IFERROR(_xlfn.XLOOKUP(C8,INGREDIENTES!$C$7:$C$141,INGREDIENTES!$L$7:$L$141)," ")</f>
        <v xml:space="preserve"> </v>
      </c>
      <c r="G8" s="136" t="str">
        <f t="shared" ca="1" si="1"/>
        <v xml:space="preserve"> </v>
      </c>
      <c r="H8" s="137" t="str">
        <f t="shared" ca="1" si="2"/>
        <v xml:space="preserve"> </v>
      </c>
      <c r="I8" s="138" t="str">
        <f ca="1">IFERROR(_xlfn.XLOOKUP(C8,INGREDIENTES!$C$7:$C$141,INGREDIENTES!$M$7:$M$141)," ")</f>
        <v xml:space="preserve"> </v>
      </c>
      <c r="J8" s="136" t="str">
        <f t="shared" ca="1" si="3"/>
        <v xml:space="preserve"> </v>
      </c>
      <c r="K8" s="139" t="str">
        <f t="shared" ca="1" si="4"/>
        <v xml:space="preserve"> </v>
      </c>
      <c r="L8" s="140" t="str">
        <f ca="1">IFERROR(_xlfn.XLOOKUP(C8,INGREDIENTES!$C$7:$C$141,INGREDIENTES!$N$7:$N$141)," ")</f>
        <v xml:space="preserve"> </v>
      </c>
      <c r="M8" s="136" t="str">
        <f t="shared" ca="1" si="5"/>
        <v xml:space="preserve"> </v>
      </c>
      <c r="N8" s="137" t="str">
        <f t="shared" ca="1" si="6"/>
        <v xml:space="preserve"> </v>
      </c>
      <c r="O8" s="138" t="str">
        <f t="shared" ca="1" si="7"/>
        <v xml:space="preserve"> </v>
      </c>
      <c r="P8" s="136" t="str">
        <f t="shared" ca="1" si="8"/>
        <v xml:space="preserve"> </v>
      </c>
      <c r="Q8" s="141" t="str">
        <f t="shared" ca="1" si="9"/>
        <v xml:space="preserve"> </v>
      </c>
      <c r="R8" s="225" t="str">
        <f t="shared" ca="1" si="10"/>
        <v xml:space="preserve"> </v>
      </c>
      <c r="S8" s="226" t="str">
        <f ca="1">IFERROR(_xlfn.XLOOKUP(C8,INGREDIENTES!$C$7:$C$141,INGREDIENTES!$O$7:$O$141)," ")</f>
        <v xml:space="preserve"> </v>
      </c>
      <c r="T8" s="136" t="str">
        <f t="shared" ca="1" si="11"/>
        <v xml:space="preserve"> </v>
      </c>
      <c r="U8" s="142" t="str">
        <f t="shared" ca="1" si="12"/>
        <v xml:space="preserve"> </v>
      </c>
      <c r="V8" s="143" t="str">
        <f ca="1">IFERROR(_xlfn.XLOOKUP(C8,INGREDIENTES!$C$7:$C$141,INGREDIENTES!$P$7:$P$141)," ")</f>
        <v xml:space="preserve"> </v>
      </c>
      <c r="W8" s="144" t="str">
        <f t="shared" ca="1" si="13"/>
        <v xml:space="preserve"> </v>
      </c>
      <c r="X8" s="134"/>
    </row>
    <row r="9" spans="1:24" ht="15.75">
      <c r="B9" s="665"/>
      <c r="C9" s="218" t="str">
        <f>'EJEMPLO RECETA DESAYUNO'!C10</f>
        <v>Queso campesino</v>
      </c>
      <c r="D9" s="135" cm="1">
        <f t="array" ref="D9">_xlfn.XLOOKUP(C9,'EJEMPLO RECETA DESAYUNO'!C$7:$C$17,'EJEMPLO RECETA DESAYUNO'!$F$7:$F$17)</f>
        <v>28</v>
      </c>
      <c r="E9" s="223">
        <f t="shared" si="0"/>
        <v>2.3313905079100747</v>
      </c>
      <c r="F9" s="224" t="str">
        <f ca="1">IFERROR(_xlfn.XLOOKUP(C9,INGREDIENTES!$C$7:$C$141,INGREDIENTES!$L$7:$L$141)," ")</f>
        <v xml:space="preserve"> </v>
      </c>
      <c r="G9" s="136" t="str">
        <f t="shared" ca="1" si="1"/>
        <v xml:space="preserve"> </v>
      </c>
      <c r="H9" s="137" t="str">
        <f t="shared" ca="1" si="2"/>
        <v xml:space="preserve"> </v>
      </c>
      <c r="I9" s="138" t="str">
        <f ca="1">IFERROR(_xlfn.XLOOKUP(C9,INGREDIENTES!$C$7:$C$141,INGREDIENTES!$M$7:$M$141)," ")</f>
        <v xml:space="preserve"> </v>
      </c>
      <c r="J9" s="136" t="str">
        <f t="shared" ca="1" si="3"/>
        <v xml:space="preserve"> </v>
      </c>
      <c r="K9" s="139" t="str">
        <f t="shared" ca="1" si="4"/>
        <v xml:space="preserve"> </v>
      </c>
      <c r="L9" s="140" t="str">
        <f ca="1">IFERROR(_xlfn.XLOOKUP(C9,INGREDIENTES!$C$7:$C$141,INGREDIENTES!$N$7:$N$141)," ")</f>
        <v xml:space="preserve"> </v>
      </c>
      <c r="M9" s="136" t="str">
        <f t="shared" ca="1" si="5"/>
        <v xml:space="preserve"> </v>
      </c>
      <c r="N9" s="137" t="str">
        <f t="shared" ca="1" si="6"/>
        <v xml:space="preserve"> </v>
      </c>
      <c r="O9" s="138" t="str">
        <f t="shared" ca="1" si="7"/>
        <v xml:space="preserve"> </v>
      </c>
      <c r="P9" s="136" t="str">
        <f t="shared" ca="1" si="8"/>
        <v xml:space="preserve"> </v>
      </c>
      <c r="Q9" s="141" t="str">
        <f t="shared" ca="1" si="9"/>
        <v xml:space="preserve"> </v>
      </c>
      <c r="R9" s="225" t="str">
        <f t="shared" ca="1" si="10"/>
        <v xml:space="preserve"> </v>
      </c>
      <c r="S9" s="226" t="str">
        <f ca="1">IFERROR(_xlfn.XLOOKUP(C9,INGREDIENTES!$C$7:$C$141,INGREDIENTES!$O$7:$O$141)," ")</f>
        <v xml:space="preserve"> </v>
      </c>
      <c r="T9" s="136" t="str">
        <f t="shared" ca="1" si="11"/>
        <v xml:space="preserve"> </v>
      </c>
      <c r="U9" s="142" t="str">
        <f t="shared" ca="1" si="12"/>
        <v xml:space="preserve"> </v>
      </c>
      <c r="V9" s="143" t="str">
        <f ca="1">IFERROR(_xlfn.XLOOKUP(C9,INGREDIENTES!$C$7:$C$141,INGREDIENTES!$P$7:$P$141)," ")</f>
        <v xml:space="preserve"> </v>
      </c>
      <c r="W9" s="144" t="str">
        <f t="shared" ca="1" si="13"/>
        <v xml:space="preserve"> </v>
      </c>
      <c r="X9" s="145"/>
    </row>
    <row r="10" spans="1:24" ht="15.75">
      <c r="B10" s="665"/>
      <c r="C10" s="218" t="str">
        <f>'EJEMPLO RECETA DESAYUNO'!C11</f>
        <v>Cebolla cabezona</v>
      </c>
      <c r="D10" s="135" cm="1">
        <f t="array" ref="D10">_xlfn.XLOOKUP(C10,'EJEMPLO RECETA DESAYUNO'!C$7:$C$17,'EJEMPLO RECETA DESAYUNO'!$F$7:$F$17)</f>
        <v>16</v>
      </c>
      <c r="E10" s="223">
        <f t="shared" si="0"/>
        <v>1.3322231473771857</v>
      </c>
      <c r="F10" s="224" t="str">
        <f ca="1">IFERROR(_xlfn.XLOOKUP(C10,INGREDIENTES!$C$7:$C$141,INGREDIENTES!$L$7:$L$141)," ")</f>
        <v xml:space="preserve"> </v>
      </c>
      <c r="G10" s="136" t="str">
        <f t="shared" ca="1" si="1"/>
        <v xml:space="preserve"> </v>
      </c>
      <c r="H10" s="137" t="str">
        <f t="shared" ca="1" si="2"/>
        <v xml:space="preserve"> </v>
      </c>
      <c r="I10" s="138" t="str">
        <f ca="1">IFERROR(_xlfn.XLOOKUP(C10,INGREDIENTES!$C$7:$C$141,INGREDIENTES!$M$7:$M$141)," ")</f>
        <v xml:space="preserve"> </v>
      </c>
      <c r="J10" s="136" t="str">
        <f t="shared" ca="1" si="3"/>
        <v xml:space="preserve"> </v>
      </c>
      <c r="K10" s="139" t="str">
        <f t="shared" ca="1" si="4"/>
        <v xml:space="preserve"> </v>
      </c>
      <c r="L10" s="140" t="str">
        <f ca="1">IFERROR(_xlfn.XLOOKUP(C10,INGREDIENTES!$C$7:$C$141,INGREDIENTES!$N$7:$N$141)," ")</f>
        <v xml:space="preserve"> </v>
      </c>
      <c r="M10" s="136" t="str">
        <f t="shared" ca="1" si="5"/>
        <v xml:space="preserve"> </v>
      </c>
      <c r="N10" s="137" t="str">
        <f t="shared" ca="1" si="6"/>
        <v xml:space="preserve"> </v>
      </c>
      <c r="O10" s="138" t="str">
        <f t="shared" ca="1" si="7"/>
        <v xml:space="preserve"> </v>
      </c>
      <c r="P10" s="136" t="str">
        <f t="shared" ca="1" si="8"/>
        <v xml:space="preserve"> </v>
      </c>
      <c r="Q10" s="141" t="str">
        <f t="shared" ca="1" si="9"/>
        <v xml:space="preserve"> </v>
      </c>
      <c r="R10" s="225" t="str">
        <f t="shared" ca="1" si="10"/>
        <v xml:space="preserve"> </v>
      </c>
      <c r="S10" s="226" t="str">
        <f ca="1">IFERROR(_xlfn.XLOOKUP(C10,INGREDIENTES!$C$7:$C$141,INGREDIENTES!$O$7:$O$141)," ")</f>
        <v xml:space="preserve"> </v>
      </c>
      <c r="T10" s="136" t="str">
        <f t="shared" ca="1" si="11"/>
        <v xml:space="preserve"> </v>
      </c>
      <c r="U10" s="142" t="str">
        <f t="shared" ca="1" si="12"/>
        <v xml:space="preserve"> </v>
      </c>
      <c r="V10" s="143" t="str">
        <f ca="1">IFERROR(_xlfn.XLOOKUP(C10,INGREDIENTES!$C$7:$C$141,INGREDIENTES!$P$7:$P$141)," ")</f>
        <v xml:space="preserve"> </v>
      </c>
      <c r="W10" s="144" t="str">
        <f t="shared" ca="1" si="13"/>
        <v xml:space="preserve"> </v>
      </c>
      <c r="X10" s="145"/>
    </row>
    <row r="11" spans="1:24" ht="15.75">
      <c r="B11" s="665"/>
      <c r="C11" s="218" t="str">
        <f>'EJEMPLO RECETA DESAYUNO'!C12</f>
        <v>Manzana roja común</v>
      </c>
      <c r="D11" s="135" cm="1">
        <f t="array" ref="D11">_xlfn.XLOOKUP(C11,'EJEMPLO RECETA DESAYUNO'!C$7:$C$17,'EJEMPLO RECETA DESAYUNO'!$F$7:$F$17)</f>
        <v>56</v>
      </c>
      <c r="E11" s="223">
        <f t="shared" si="0"/>
        <v>4.6627810158201495</v>
      </c>
      <c r="F11" s="224" t="str">
        <f ca="1">IFERROR(_xlfn.XLOOKUP(C11,INGREDIENTES!$C$7:$C$141,INGREDIENTES!$L$7:$L$141)," ")</f>
        <v xml:space="preserve"> </v>
      </c>
      <c r="G11" s="136" t="str">
        <f t="shared" ca="1" si="1"/>
        <v xml:space="preserve"> </v>
      </c>
      <c r="H11" s="137" t="str">
        <f t="shared" ca="1" si="2"/>
        <v xml:space="preserve"> </v>
      </c>
      <c r="I11" s="138" t="str">
        <f ca="1">IFERROR(_xlfn.XLOOKUP(C11,INGREDIENTES!$C$7:$C$141,INGREDIENTES!$M$7:$M$141)," ")</f>
        <v xml:space="preserve"> </v>
      </c>
      <c r="J11" s="136" t="str">
        <f t="shared" ca="1" si="3"/>
        <v xml:space="preserve"> </v>
      </c>
      <c r="K11" s="139" t="str">
        <f t="shared" ca="1" si="4"/>
        <v xml:space="preserve"> </v>
      </c>
      <c r="L11" s="140" t="str">
        <f ca="1">IFERROR(_xlfn.XLOOKUP(C11,INGREDIENTES!$C$7:$C$141,INGREDIENTES!$N$7:$N$141)," ")</f>
        <v xml:space="preserve"> </v>
      </c>
      <c r="M11" s="136" t="str">
        <f t="shared" ca="1" si="5"/>
        <v xml:space="preserve"> </v>
      </c>
      <c r="N11" s="137" t="str">
        <f t="shared" ca="1" si="6"/>
        <v xml:space="preserve"> </v>
      </c>
      <c r="O11" s="138" t="str">
        <f t="shared" ca="1" si="7"/>
        <v xml:space="preserve"> </v>
      </c>
      <c r="P11" s="136" t="str">
        <f t="shared" ca="1" si="8"/>
        <v xml:space="preserve"> </v>
      </c>
      <c r="Q11" s="141" t="str">
        <f t="shared" ca="1" si="9"/>
        <v xml:space="preserve"> </v>
      </c>
      <c r="R11" s="225" t="str">
        <f t="shared" ca="1" si="10"/>
        <v xml:space="preserve"> </v>
      </c>
      <c r="S11" s="226" t="str">
        <f ca="1">IFERROR(_xlfn.XLOOKUP(C11,INGREDIENTES!$C$7:$C$141,INGREDIENTES!$O$7:$O$141)," ")</f>
        <v xml:space="preserve"> </v>
      </c>
      <c r="T11" s="136" t="str">
        <f t="shared" ca="1" si="11"/>
        <v xml:space="preserve"> </v>
      </c>
      <c r="U11" s="142" t="str">
        <f t="shared" ca="1" si="12"/>
        <v xml:space="preserve"> </v>
      </c>
      <c r="V11" s="143" t="str">
        <f ca="1">IFERROR(_xlfn.XLOOKUP(C11,INGREDIENTES!$C$7:$C$141,INGREDIENTES!$P$7:$P$141)," ")</f>
        <v xml:space="preserve"> </v>
      </c>
      <c r="W11" s="144" t="str">
        <f t="shared" ca="1" si="13"/>
        <v xml:space="preserve"> </v>
      </c>
      <c r="X11" s="145"/>
    </row>
    <row r="12" spans="1:24" ht="15.75">
      <c r="B12" s="665"/>
      <c r="C12" s="218" t="str">
        <f>'EJEMPLO RECETA DESAYUNO'!C13</f>
        <v>Banano común</v>
      </c>
      <c r="D12" s="135" cm="1">
        <f t="array" ref="D12">_xlfn.XLOOKUP(C12,'EJEMPLO RECETA DESAYUNO'!C$7:$C$17,'EJEMPLO RECETA DESAYUNO'!$F$7:$F$17)</f>
        <v>56</v>
      </c>
      <c r="E12" s="223">
        <f t="shared" si="0"/>
        <v>4.6627810158201495</v>
      </c>
      <c r="F12" s="224" t="str">
        <f ca="1">IFERROR(_xlfn.XLOOKUP(C12,INGREDIENTES!$C$7:$C$141,INGREDIENTES!$L$7:$L$141)," ")</f>
        <v xml:space="preserve"> </v>
      </c>
      <c r="G12" s="136" t="str">
        <f t="shared" ca="1" si="1"/>
        <v xml:space="preserve"> </v>
      </c>
      <c r="H12" s="137" t="str">
        <f t="shared" ca="1" si="2"/>
        <v xml:space="preserve"> </v>
      </c>
      <c r="I12" s="138" t="str">
        <f ca="1">IFERROR(_xlfn.XLOOKUP(C12,INGREDIENTES!$C$7:$C$141,INGREDIENTES!$M$7:$M$141)," ")</f>
        <v xml:space="preserve"> </v>
      </c>
      <c r="J12" s="136" t="str">
        <f t="shared" ca="1" si="3"/>
        <v xml:space="preserve"> </v>
      </c>
      <c r="K12" s="139" t="str">
        <f t="shared" ca="1" si="4"/>
        <v xml:space="preserve"> </v>
      </c>
      <c r="L12" s="140" t="str">
        <f ca="1">IFERROR(_xlfn.XLOOKUP(C12,INGREDIENTES!$C$7:$C$141,INGREDIENTES!$N$7:$N$141)," ")</f>
        <v xml:space="preserve"> </v>
      </c>
      <c r="M12" s="136" t="str">
        <f t="shared" ca="1" si="5"/>
        <v xml:space="preserve"> </v>
      </c>
      <c r="N12" s="137" t="str">
        <f t="shared" ca="1" si="6"/>
        <v xml:space="preserve"> </v>
      </c>
      <c r="O12" s="138" t="str">
        <f t="shared" ca="1" si="7"/>
        <v xml:space="preserve"> </v>
      </c>
      <c r="P12" s="136" t="str">
        <f t="shared" ca="1" si="8"/>
        <v xml:space="preserve"> </v>
      </c>
      <c r="Q12" s="141" t="str">
        <f t="shared" ca="1" si="9"/>
        <v xml:space="preserve"> </v>
      </c>
      <c r="R12" s="225" t="str">
        <f t="shared" ca="1" si="10"/>
        <v xml:space="preserve"> </v>
      </c>
      <c r="S12" s="226" t="str">
        <f ca="1">IFERROR(_xlfn.XLOOKUP(C12,INGREDIENTES!$C$7:$C$141,INGREDIENTES!$O$7:$O$141)," ")</f>
        <v xml:space="preserve"> </v>
      </c>
      <c r="T12" s="136" t="str">
        <f t="shared" ca="1" si="11"/>
        <v xml:space="preserve"> </v>
      </c>
      <c r="U12" s="142" t="str">
        <f t="shared" ca="1" si="12"/>
        <v xml:space="preserve"> </v>
      </c>
      <c r="V12" s="143" t="str">
        <f ca="1">IFERROR(_xlfn.XLOOKUP(C12,INGREDIENTES!$C$7:$C$141,INGREDIENTES!$P$7:$P$141)," ")</f>
        <v xml:space="preserve"> </v>
      </c>
      <c r="W12" s="144" t="str">
        <f t="shared" ca="1" si="13"/>
        <v xml:space="preserve"> </v>
      </c>
      <c r="X12" s="145"/>
    </row>
    <row r="13" spans="1:24" ht="15.75">
      <c r="B13" s="665"/>
      <c r="C13" s="218" t="str">
        <f>'EJEMPLO RECETA DESAYUNO'!C14</f>
        <v>Papaya Maradol</v>
      </c>
      <c r="D13" s="135" cm="1">
        <f t="array" ref="D13">_xlfn.XLOOKUP(C13,'EJEMPLO RECETA DESAYUNO'!C$7:$C$17,'EJEMPLO RECETA DESAYUNO'!$F$7:$F$17)</f>
        <v>56</v>
      </c>
      <c r="E13" s="223">
        <f t="shared" si="0"/>
        <v>4.6627810158201495</v>
      </c>
      <c r="F13" s="224" t="str">
        <f ca="1">IFERROR(_xlfn.XLOOKUP(C13,INGREDIENTES!$C$7:$C$141,INGREDIENTES!$L$7:$L$141)," ")</f>
        <v xml:space="preserve"> </v>
      </c>
      <c r="G13" s="136" t="str">
        <f t="shared" ca="1" si="1"/>
        <v xml:space="preserve"> </v>
      </c>
      <c r="H13" s="137" t="str">
        <f t="shared" ca="1" si="2"/>
        <v xml:space="preserve"> </v>
      </c>
      <c r="I13" s="138" t="str">
        <f ca="1">IFERROR(_xlfn.XLOOKUP(C13,INGREDIENTES!$C$7:$C$141,INGREDIENTES!$M$7:$M$141)," ")</f>
        <v xml:space="preserve"> </v>
      </c>
      <c r="J13" s="136" t="str">
        <f t="shared" ca="1" si="3"/>
        <v xml:space="preserve"> </v>
      </c>
      <c r="K13" s="139" t="str">
        <f t="shared" ca="1" si="4"/>
        <v xml:space="preserve"> </v>
      </c>
      <c r="L13" s="140" t="str">
        <f ca="1">IFERROR(_xlfn.XLOOKUP(C13,INGREDIENTES!$C$7:$C$141,INGREDIENTES!$N$7:$N$141)," ")</f>
        <v xml:space="preserve"> </v>
      </c>
      <c r="M13" s="136" t="str">
        <f t="shared" ca="1" si="5"/>
        <v xml:space="preserve"> </v>
      </c>
      <c r="N13" s="137" t="str">
        <f t="shared" ca="1" si="6"/>
        <v xml:space="preserve"> </v>
      </c>
      <c r="O13" s="138" t="str">
        <f t="shared" ca="1" si="7"/>
        <v xml:space="preserve"> </v>
      </c>
      <c r="P13" s="136" t="str">
        <f t="shared" ca="1" si="8"/>
        <v xml:space="preserve"> </v>
      </c>
      <c r="Q13" s="141" t="str">
        <f t="shared" ca="1" si="9"/>
        <v xml:space="preserve"> </v>
      </c>
      <c r="R13" s="225" t="str">
        <f t="shared" ca="1" si="10"/>
        <v xml:space="preserve"> </v>
      </c>
      <c r="S13" s="226" t="str">
        <f ca="1">IFERROR(_xlfn.XLOOKUP(C13,INGREDIENTES!$C$7:$C$141,INGREDIENTES!$O$7:$O$141)," ")</f>
        <v xml:space="preserve"> </v>
      </c>
      <c r="T13" s="136" t="str">
        <f t="shared" ca="1" si="11"/>
        <v xml:space="preserve"> </v>
      </c>
      <c r="U13" s="142" t="str">
        <f t="shared" ca="1" si="12"/>
        <v xml:space="preserve"> </v>
      </c>
      <c r="V13" s="143" t="str">
        <f ca="1">IFERROR(_xlfn.XLOOKUP(C13,INGREDIENTES!$C$7:$C$141,INGREDIENTES!$P$7:$P$141)," ")</f>
        <v xml:space="preserve"> </v>
      </c>
      <c r="W13" s="144" t="str">
        <f t="shared" ca="1" si="13"/>
        <v xml:space="preserve"> </v>
      </c>
      <c r="X13" s="145"/>
    </row>
    <row r="14" spans="1:24" ht="15.75">
      <c r="B14" s="665"/>
      <c r="C14" s="218" t="str">
        <f>'EJEMPLO RECETA DESAYUNO'!C15</f>
        <v>Avena en hojuelas</v>
      </c>
      <c r="D14" s="135" cm="1">
        <f t="array" ref="D14">_xlfn.XLOOKUP(C14,'EJEMPLO RECETA DESAYUNO'!C$7:$C$17,'EJEMPLO RECETA DESAYUNO'!$F$7:$F$17)</f>
        <v>140</v>
      </c>
      <c r="E14" s="223">
        <f t="shared" si="0"/>
        <v>11.656952539550375</v>
      </c>
      <c r="F14" s="224" t="str">
        <f ca="1">IFERROR(_xlfn.XLOOKUP(C14,INGREDIENTES!$C$7:$C$141,INGREDIENTES!$L$7:$L$141)," ")</f>
        <v xml:space="preserve"> </v>
      </c>
      <c r="G14" s="136" t="str">
        <f t="shared" ca="1" si="1"/>
        <v xml:space="preserve"> </v>
      </c>
      <c r="H14" s="137" t="str">
        <f t="shared" ca="1" si="2"/>
        <v xml:space="preserve"> </v>
      </c>
      <c r="I14" s="138" t="str">
        <f ca="1">IFERROR(_xlfn.XLOOKUP(C14,INGREDIENTES!$C$7:$C$141,INGREDIENTES!$M$7:$M$141)," ")</f>
        <v xml:space="preserve"> </v>
      </c>
      <c r="J14" s="136" t="str">
        <f t="shared" ca="1" si="3"/>
        <v xml:space="preserve"> </v>
      </c>
      <c r="K14" s="139" t="str">
        <f t="shared" ca="1" si="4"/>
        <v xml:space="preserve"> </v>
      </c>
      <c r="L14" s="140" t="str">
        <f ca="1">IFERROR(_xlfn.XLOOKUP(C14,INGREDIENTES!$C$7:$C$141,INGREDIENTES!$N$7:$N$141)," ")</f>
        <v xml:space="preserve"> </v>
      </c>
      <c r="M14" s="136" t="str">
        <f t="shared" ca="1" si="5"/>
        <v xml:space="preserve"> </v>
      </c>
      <c r="N14" s="137" t="str">
        <f t="shared" ca="1" si="6"/>
        <v xml:space="preserve"> </v>
      </c>
      <c r="O14" s="138" t="str">
        <f t="shared" ca="1" si="7"/>
        <v xml:space="preserve"> </v>
      </c>
      <c r="P14" s="136" t="str">
        <f t="shared" ca="1" si="8"/>
        <v xml:space="preserve"> </v>
      </c>
      <c r="Q14" s="141" t="str">
        <f t="shared" ca="1" si="9"/>
        <v xml:space="preserve"> </v>
      </c>
      <c r="R14" s="225" t="str">
        <f t="shared" ca="1" si="10"/>
        <v xml:space="preserve"> </v>
      </c>
      <c r="S14" s="226" t="str">
        <f ca="1">IFERROR(_xlfn.XLOOKUP(C14,INGREDIENTES!$C$7:$C$141,INGREDIENTES!$O$7:$O$141)," ")</f>
        <v xml:space="preserve"> </v>
      </c>
      <c r="T14" s="136" t="str">
        <f t="shared" ca="1" si="11"/>
        <v xml:space="preserve"> </v>
      </c>
      <c r="U14" s="142" t="str">
        <f t="shared" ca="1" si="12"/>
        <v xml:space="preserve"> </v>
      </c>
      <c r="V14" s="143" t="str">
        <f ca="1">IFERROR(_xlfn.XLOOKUP(C14,INGREDIENTES!$C$7:$C$141,INGREDIENTES!$P$7:$P$141)," ")</f>
        <v xml:space="preserve"> </v>
      </c>
      <c r="W14" s="144" t="str">
        <f t="shared" ca="1" si="13"/>
        <v xml:space="preserve"> </v>
      </c>
      <c r="X14" s="145"/>
    </row>
    <row r="15" spans="1:24" ht="15.75">
      <c r="B15" s="665"/>
      <c r="C15" s="218" t="str">
        <f>'EJEMPLO RECETA DESAYUNO'!C16</f>
        <v>Café instantáneo</v>
      </c>
      <c r="D15" s="135" cm="1">
        <f t="array" ref="D15">_xlfn.XLOOKUP(C15,'EJEMPLO RECETA DESAYUNO'!C$7:$C$17,'EJEMPLO RECETA DESAYUNO'!$F$7:$F$17)</f>
        <v>60</v>
      </c>
      <c r="E15" s="223">
        <f t="shared" si="0"/>
        <v>4.9958368026644457</v>
      </c>
      <c r="F15" s="224" t="str">
        <f ca="1">IFERROR(_xlfn.XLOOKUP(C15,INGREDIENTES!$C$7:$C$141,INGREDIENTES!$L$7:$L$141)," ")</f>
        <v xml:space="preserve"> </v>
      </c>
      <c r="G15" s="136" t="str">
        <f t="shared" ca="1" si="1"/>
        <v xml:space="preserve"> </v>
      </c>
      <c r="H15" s="137" t="str">
        <f t="shared" ca="1" si="2"/>
        <v xml:space="preserve"> </v>
      </c>
      <c r="I15" s="138" t="str">
        <f ca="1">IFERROR(_xlfn.XLOOKUP(C15,INGREDIENTES!$C$7:$C$141,INGREDIENTES!$M$7:$M$141)," ")</f>
        <v xml:space="preserve"> </v>
      </c>
      <c r="J15" s="136" t="str">
        <f t="shared" ca="1" si="3"/>
        <v xml:space="preserve"> </v>
      </c>
      <c r="K15" s="139" t="str">
        <f t="shared" ca="1" si="4"/>
        <v xml:space="preserve"> </v>
      </c>
      <c r="L15" s="140" t="str">
        <f ca="1">IFERROR(_xlfn.XLOOKUP(C15,INGREDIENTES!$C$7:$C$141,INGREDIENTES!$N$7:$N$141)," ")</f>
        <v xml:space="preserve"> </v>
      </c>
      <c r="M15" s="136" t="str">
        <f t="shared" ca="1" si="5"/>
        <v xml:space="preserve"> </v>
      </c>
      <c r="N15" s="137" t="str">
        <f t="shared" ca="1" si="6"/>
        <v xml:space="preserve"> </v>
      </c>
      <c r="O15" s="138" t="str">
        <f t="shared" ca="1" si="7"/>
        <v xml:space="preserve"> </v>
      </c>
      <c r="P15" s="136" t="str">
        <f t="shared" ca="1" si="8"/>
        <v xml:space="preserve"> </v>
      </c>
      <c r="Q15" s="141" t="str">
        <f t="shared" ca="1" si="9"/>
        <v xml:space="preserve"> </v>
      </c>
      <c r="R15" s="225" t="str">
        <f t="shared" ca="1" si="10"/>
        <v xml:space="preserve"> </v>
      </c>
      <c r="S15" s="226" t="str">
        <f ca="1">IFERROR(_xlfn.XLOOKUP(C15,INGREDIENTES!$C$7:$C$141,INGREDIENTES!$O$7:$O$141)," ")</f>
        <v xml:space="preserve"> </v>
      </c>
      <c r="T15" s="136" t="str">
        <f t="shared" ca="1" si="11"/>
        <v xml:space="preserve"> </v>
      </c>
      <c r="U15" s="142" t="str">
        <f t="shared" ca="1" si="12"/>
        <v xml:space="preserve"> </v>
      </c>
      <c r="V15" s="143" t="str">
        <f ca="1">IFERROR(_xlfn.XLOOKUP(C15,INGREDIENTES!$C$7:$C$141,INGREDIENTES!$P$7:$P$141)," ")</f>
        <v xml:space="preserve"> </v>
      </c>
      <c r="W15" s="144" t="str">
        <f t="shared" ca="1" si="13"/>
        <v xml:space="preserve"> </v>
      </c>
      <c r="X15" s="145"/>
    </row>
    <row r="16" spans="1:24" ht="15.75">
      <c r="B16" s="666"/>
      <c r="C16" s="227" t="str">
        <f>'EJEMPLO RECETA DESAYUNO'!C17</f>
        <v>Naranja Valencia</v>
      </c>
      <c r="D16" s="146" cm="1">
        <f t="array" ref="D16">_xlfn.XLOOKUP(C16,'EJEMPLO RECETA DESAYUNO'!C$7:$C$17,'EJEMPLO RECETA DESAYUNO'!$F$7:$F$17)</f>
        <v>600</v>
      </c>
      <c r="E16" s="228">
        <f t="shared" si="0"/>
        <v>49.958368026644465</v>
      </c>
      <c r="F16" s="229" t="str">
        <f ca="1">IFERROR(_xlfn.XLOOKUP(C16,INGREDIENTES!$C$7:$C$141,INGREDIENTES!$L$7:$L$141)," ")</f>
        <v xml:space="preserve"> </v>
      </c>
      <c r="G16" s="147" t="str">
        <f t="shared" ca="1" si="1"/>
        <v xml:space="preserve"> </v>
      </c>
      <c r="H16" s="148" t="str">
        <f t="shared" ca="1" si="2"/>
        <v xml:space="preserve"> </v>
      </c>
      <c r="I16" s="149" t="str">
        <f ca="1">IFERROR(_xlfn.XLOOKUP(C16,INGREDIENTES!$C$7:$C$141,INGREDIENTES!$M$7:$M$141)," ")</f>
        <v xml:space="preserve"> </v>
      </c>
      <c r="J16" s="147" t="str">
        <f t="shared" ca="1" si="3"/>
        <v xml:space="preserve"> </v>
      </c>
      <c r="K16" s="150" t="str">
        <f t="shared" ca="1" si="4"/>
        <v xml:space="preserve"> </v>
      </c>
      <c r="L16" s="151" t="str">
        <f ca="1">IFERROR(_xlfn.XLOOKUP(C16,INGREDIENTES!$C$7:$C$141,INGREDIENTES!$N$7:$N$141)," ")</f>
        <v xml:space="preserve"> </v>
      </c>
      <c r="M16" s="147" t="str">
        <f t="shared" ca="1" si="5"/>
        <v xml:space="preserve"> </v>
      </c>
      <c r="N16" s="148" t="str">
        <f t="shared" ca="1" si="6"/>
        <v xml:space="preserve"> </v>
      </c>
      <c r="O16" s="149" t="str">
        <f t="shared" ca="1" si="7"/>
        <v xml:space="preserve"> </v>
      </c>
      <c r="P16" s="147" t="str">
        <f t="shared" ca="1" si="8"/>
        <v xml:space="preserve"> </v>
      </c>
      <c r="Q16" s="152" t="str">
        <f t="shared" ca="1" si="9"/>
        <v xml:space="preserve"> </v>
      </c>
      <c r="R16" s="230" t="str">
        <f t="shared" ca="1" si="10"/>
        <v xml:space="preserve"> </v>
      </c>
      <c r="S16" s="231" t="str">
        <f ca="1">IFERROR(_xlfn.XLOOKUP(C16,INGREDIENTES!$C$7:$C$141,INGREDIENTES!$O$7:$O$141)," ")</f>
        <v xml:space="preserve"> </v>
      </c>
      <c r="T16" s="147" t="str">
        <f t="shared" ca="1" si="11"/>
        <v xml:space="preserve"> </v>
      </c>
      <c r="U16" s="153" t="str">
        <f t="shared" ca="1" si="12"/>
        <v xml:space="preserve"> </v>
      </c>
      <c r="V16" s="154" t="str">
        <f ca="1">IFERROR(_xlfn.XLOOKUP(C16,INGREDIENTES!$C$7:$C$141,INGREDIENTES!$P$7:$P$141)," ")</f>
        <v xml:space="preserve"> </v>
      </c>
      <c r="W16" s="155" t="str">
        <f t="shared" ca="1" si="13"/>
        <v xml:space="preserve"> </v>
      </c>
      <c r="X16" s="145"/>
    </row>
    <row r="17" spans="1:34" ht="15.75">
      <c r="A17" s="156"/>
      <c r="B17" s="156"/>
      <c r="C17" s="156"/>
      <c r="D17" s="157"/>
      <c r="E17" s="158"/>
      <c r="F17" s="156"/>
      <c r="G17" s="159"/>
      <c r="H17" s="160"/>
      <c r="I17" s="156"/>
      <c r="J17" s="158"/>
      <c r="K17" s="160"/>
      <c r="L17" s="156"/>
      <c r="M17" s="158"/>
      <c r="N17" s="158"/>
      <c r="O17" s="156"/>
      <c r="P17" s="158"/>
      <c r="Q17" s="156"/>
      <c r="R17" s="160"/>
      <c r="S17" s="156"/>
      <c r="T17" s="158"/>
      <c r="U17" s="160"/>
      <c r="V17" s="156"/>
      <c r="W17" s="158"/>
      <c r="X17" s="145"/>
      <c r="AA17" s="640" t="s">
        <v>454</v>
      </c>
      <c r="AB17" s="640"/>
      <c r="AC17" s="640"/>
      <c r="AD17" s="640"/>
      <c r="AE17" s="640"/>
      <c r="AF17" s="640"/>
      <c r="AG17" s="640"/>
      <c r="AH17" s="640"/>
    </row>
    <row r="18" spans="1:34" ht="15.75" customHeight="1">
      <c r="A18" s="161"/>
      <c r="B18" s="667" t="s">
        <v>344</v>
      </c>
      <c r="C18" s="668"/>
      <c r="D18" s="162">
        <f>SUM(D6:D16)</f>
        <v>1201</v>
      </c>
      <c r="E18" s="163">
        <f>SUM(E6:E16)</f>
        <v>100</v>
      </c>
      <c r="F18" s="164"/>
      <c r="G18" s="165">
        <f ca="1">SUM(G6:G16)</f>
        <v>0</v>
      </c>
      <c r="H18" s="166">
        <f ca="1">SUM(H6:H16)</f>
        <v>0</v>
      </c>
      <c r="I18" s="167"/>
      <c r="J18" s="165">
        <f ca="1">SUM(J6:J16)</f>
        <v>0</v>
      </c>
      <c r="K18" s="166">
        <f ca="1">SUM(K6:K16)</f>
        <v>0</v>
      </c>
      <c r="L18" s="167"/>
      <c r="M18" s="232">
        <f ca="1">SUM(M6:M16)</f>
        <v>0</v>
      </c>
      <c r="N18" s="168">
        <f ca="1">SUM(N6:N16)</f>
        <v>0</v>
      </c>
      <c r="O18" s="169"/>
      <c r="P18" s="170">
        <f ca="1">SUM(P6:P16)</f>
        <v>0</v>
      </c>
      <c r="Q18" s="171">
        <f ca="1">P18*0</f>
        <v>0</v>
      </c>
      <c r="R18" s="172">
        <f ca="1">SUM(R6:R16)</f>
        <v>0</v>
      </c>
      <c r="S18" s="173"/>
      <c r="T18" s="174">
        <f ca="1">SUM(T6:T16)</f>
        <v>0</v>
      </c>
      <c r="U18" s="168">
        <f ca="1">T18*2</f>
        <v>0</v>
      </c>
      <c r="V18" s="171"/>
      <c r="W18" s="175">
        <f ca="1">SUM(W6:W16)</f>
        <v>0</v>
      </c>
      <c r="X18" s="176"/>
      <c r="AA18" s="640"/>
      <c r="AB18" s="640"/>
      <c r="AC18" s="640"/>
      <c r="AD18" s="640"/>
      <c r="AE18" s="640"/>
      <c r="AF18" s="640"/>
      <c r="AG18" s="640"/>
      <c r="AH18" s="640"/>
    </row>
    <row r="19" spans="1:34" ht="15.75" customHeight="1">
      <c r="A19" s="156"/>
      <c r="B19" s="669"/>
      <c r="C19" s="177"/>
      <c r="D19" s="178"/>
      <c r="E19" s="179"/>
      <c r="F19" s="156"/>
      <c r="G19" s="156"/>
      <c r="H19" s="156"/>
      <c r="I19" s="180"/>
      <c r="J19" s="181"/>
      <c r="K19" s="181"/>
      <c r="L19" s="181"/>
      <c r="M19" s="233">
        <v>1</v>
      </c>
      <c r="N19" s="670" t="s">
        <v>345</v>
      </c>
      <c r="O19" s="670"/>
      <c r="P19" s="670"/>
      <c r="Q19" s="670"/>
      <c r="R19" s="234">
        <v>2000</v>
      </c>
      <c r="S19" s="235" t="s">
        <v>346</v>
      </c>
      <c r="T19" s="671" t="s">
        <v>347</v>
      </c>
      <c r="U19" s="672"/>
      <c r="V19" s="677" t="s">
        <v>348</v>
      </c>
      <c r="W19" s="678"/>
      <c r="X19" s="182"/>
      <c r="AA19" s="640"/>
      <c r="AB19" s="640"/>
      <c r="AC19" s="640"/>
      <c r="AD19" s="640"/>
      <c r="AE19" s="640"/>
      <c r="AF19" s="640"/>
      <c r="AG19" s="640"/>
      <c r="AH19" s="640"/>
    </row>
    <row r="20" spans="1:34" ht="19.5" customHeight="1">
      <c r="A20" s="156"/>
      <c r="B20" s="669"/>
      <c r="C20" s="177"/>
      <c r="D20" s="178"/>
      <c r="E20" s="179"/>
      <c r="F20" s="156"/>
      <c r="G20" s="156"/>
      <c r="H20" s="688" t="s">
        <v>455</v>
      </c>
      <c r="I20" s="688"/>
      <c r="J20" s="688"/>
      <c r="K20" s="688"/>
      <c r="L20" s="181"/>
      <c r="M20" s="236" t="str">
        <f>IF(Q20="Desayuno", "25%", IF(Q20= "Snack", "17%", IF(Q20= "Plato fuerte", "30%", "30%")))</f>
        <v>25%</v>
      </c>
      <c r="N20" s="683" t="s">
        <v>350</v>
      </c>
      <c r="O20" s="683"/>
      <c r="P20" s="684"/>
      <c r="Q20" s="183" t="str">
        <f>'EJEMPLO RECETA DESAYUNO'!F3</f>
        <v>Desayuno</v>
      </c>
      <c r="R20" s="237">
        <f>M20*R19</f>
        <v>500</v>
      </c>
      <c r="S20" s="238" t="s">
        <v>346</v>
      </c>
      <c r="T20" s="673"/>
      <c r="U20" s="674"/>
      <c r="V20" s="679"/>
      <c r="W20" s="680"/>
      <c r="X20" s="182"/>
      <c r="AA20" s="640"/>
      <c r="AB20" s="640"/>
      <c r="AC20" s="640"/>
      <c r="AD20" s="640"/>
      <c r="AE20" s="640"/>
      <c r="AF20" s="640"/>
      <c r="AG20" s="640"/>
      <c r="AH20" s="640"/>
    </row>
    <row r="21" spans="1:34" ht="15.75">
      <c r="A21" s="156"/>
      <c r="B21" s="669"/>
      <c r="C21" s="177"/>
      <c r="D21" s="178"/>
      <c r="E21" s="179"/>
      <c r="F21" s="156"/>
      <c r="G21" s="156"/>
      <c r="H21" s="688"/>
      <c r="I21" s="688"/>
      <c r="J21" s="688"/>
      <c r="K21" s="688"/>
      <c r="L21" s="181"/>
      <c r="M21" s="239">
        <f ca="1">R21*M19/R19</f>
        <v>0</v>
      </c>
      <c r="N21" s="689" t="s">
        <v>351</v>
      </c>
      <c r="O21" s="689"/>
      <c r="P21" s="689"/>
      <c r="Q21" s="689"/>
      <c r="R21" s="240">
        <f ca="1">R22/4</f>
        <v>0</v>
      </c>
      <c r="S21" s="241" t="s">
        <v>346</v>
      </c>
      <c r="T21" s="673"/>
      <c r="U21" s="674"/>
      <c r="V21" s="679"/>
      <c r="W21" s="680"/>
      <c r="X21" s="182"/>
      <c r="AA21" s="640"/>
      <c r="AB21" s="640"/>
      <c r="AC21" s="640"/>
      <c r="AD21" s="640"/>
      <c r="AE21" s="640"/>
      <c r="AF21" s="640"/>
      <c r="AG21" s="640"/>
      <c r="AH21" s="640"/>
    </row>
    <row r="22" spans="1:34" ht="52.5" hidden="1" customHeight="1">
      <c r="A22" s="156"/>
      <c r="B22" s="669"/>
      <c r="C22" s="177"/>
      <c r="D22" s="178"/>
      <c r="E22" s="179"/>
      <c r="F22" s="156"/>
      <c r="G22" s="156"/>
      <c r="H22" s="156"/>
      <c r="I22" s="180"/>
      <c r="J22" s="181"/>
      <c r="K22" s="181"/>
      <c r="L22" s="181"/>
      <c r="M22" s="242"/>
      <c r="N22" s="685" t="s">
        <v>456</v>
      </c>
      <c r="O22" s="686"/>
      <c r="P22" s="686"/>
      <c r="Q22" s="687"/>
      <c r="R22" s="184">
        <f ca="1">R18</f>
        <v>0</v>
      </c>
      <c r="S22" s="432" t="s">
        <v>346</v>
      </c>
      <c r="T22" s="675"/>
      <c r="U22" s="676"/>
      <c r="V22" s="681"/>
      <c r="W22" s="682"/>
      <c r="X22" s="182"/>
    </row>
    <row r="23" spans="1:34" ht="15.75">
      <c r="A23" s="156"/>
      <c r="B23" s="156"/>
      <c r="C23" s="156"/>
      <c r="D23" s="156"/>
      <c r="E23" s="156"/>
      <c r="F23" s="156"/>
      <c r="G23" s="156"/>
      <c r="H23" s="156"/>
      <c r="I23" s="156"/>
      <c r="J23" s="156"/>
      <c r="K23" s="156"/>
      <c r="L23" s="156"/>
      <c r="M23" s="156"/>
      <c r="N23" s="156"/>
      <c r="O23" s="156"/>
      <c r="P23" s="156"/>
      <c r="Q23" s="156"/>
      <c r="R23" s="156"/>
      <c r="S23" s="156"/>
      <c r="T23" s="156"/>
      <c r="U23" s="156"/>
      <c r="V23" s="156"/>
      <c r="W23" s="156"/>
      <c r="X23" s="145"/>
    </row>
    <row r="24" spans="1:34" ht="49.5" customHeight="1">
      <c r="A24" s="185"/>
      <c r="B24" s="185"/>
      <c r="C24" s="124"/>
      <c r="D24" s="124"/>
      <c r="E24" s="186"/>
      <c r="F24" s="187"/>
      <c r="G24" s="185"/>
      <c r="H24" s="690" t="s">
        <v>353</v>
      </c>
      <c r="I24" s="691"/>
      <c r="J24" s="692"/>
      <c r="K24" s="188" t="s">
        <v>314</v>
      </c>
      <c r="L24" s="189"/>
      <c r="M24" s="690" t="s">
        <v>354</v>
      </c>
      <c r="N24" s="692"/>
      <c r="O24" s="190" t="s">
        <v>314</v>
      </c>
      <c r="P24" s="693" t="s">
        <v>355</v>
      </c>
      <c r="Q24" s="694"/>
      <c r="R24" s="695"/>
      <c r="S24" s="191"/>
      <c r="T24" s="113"/>
      <c r="U24" s="113"/>
      <c r="V24" s="639" t="s">
        <v>457</v>
      </c>
      <c r="W24" s="639"/>
      <c r="X24" s="639"/>
      <c r="Y24" s="639"/>
    </row>
    <row r="25" spans="1:34" ht="15" customHeight="1">
      <c r="F25" s="134"/>
      <c r="H25" s="698" t="s">
        <v>357</v>
      </c>
      <c r="I25" s="699"/>
      <c r="J25" s="700"/>
      <c r="K25" s="192">
        <f ca="1">((G18/D18)*100)</f>
        <v>0</v>
      </c>
      <c r="M25" s="698" t="s">
        <v>358</v>
      </c>
      <c r="N25" s="700"/>
      <c r="O25" s="193" t="e">
        <f ca="1">H18/R18*100</f>
        <v>#DIV/0!</v>
      </c>
      <c r="P25" s="701" t="s">
        <v>359</v>
      </c>
      <c r="Q25" s="702"/>
      <c r="R25" s="703"/>
      <c r="S25" s="194"/>
      <c r="T25" s="113"/>
      <c r="U25" s="712" t="s">
        <v>458</v>
      </c>
      <c r="V25" s="712"/>
      <c r="W25" s="712"/>
      <c r="X25" s="712"/>
      <c r="Y25" s="712"/>
      <c r="Z25" s="712"/>
      <c r="AA25" s="712"/>
    </row>
    <row r="26" spans="1:34">
      <c r="F26" s="134"/>
      <c r="H26" s="698" t="s">
        <v>362</v>
      </c>
      <c r="I26" s="699"/>
      <c r="J26" s="700"/>
      <c r="K26" s="192">
        <f ca="1">(J18/D18)*100</f>
        <v>0</v>
      </c>
      <c r="M26" s="698" t="s">
        <v>363</v>
      </c>
      <c r="N26" s="700"/>
      <c r="O26" s="193" t="e">
        <f ca="1">(K18/R18)*100</f>
        <v>#DIV/0!</v>
      </c>
      <c r="P26" s="701" t="s">
        <v>364</v>
      </c>
      <c r="Q26" s="702"/>
      <c r="R26" s="703"/>
      <c r="S26" s="194"/>
      <c r="T26" s="113"/>
      <c r="U26" s="712"/>
      <c r="V26" s="712"/>
      <c r="W26" s="712"/>
      <c r="X26" s="712"/>
      <c r="Y26" s="712"/>
      <c r="Z26" s="712"/>
      <c r="AA26" s="712"/>
    </row>
    <row r="27" spans="1:34" ht="15.75">
      <c r="F27" s="134"/>
      <c r="H27" s="704" t="s">
        <v>367</v>
      </c>
      <c r="I27" s="705"/>
      <c r="J27" s="706"/>
      <c r="K27" s="192">
        <f ca="1">(M18/D18)*100</f>
        <v>0</v>
      </c>
      <c r="M27" s="707" t="s">
        <v>368</v>
      </c>
      <c r="N27" s="708"/>
      <c r="O27" s="195" t="e">
        <f ca="1">(N18/R18)*100</f>
        <v>#DIV/0!</v>
      </c>
      <c r="P27" s="709" t="s">
        <v>369</v>
      </c>
      <c r="Q27" s="710"/>
      <c r="R27" s="711"/>
      <c r="S27" s="194"/>
      <c r="T27" s="113"/>
      <c r="U27" s="712"/>
      <c r="V27" s="712"/>
      <c r="W27" s="712"/>
      <c r="X27" s="712"/>
      <c r="Y27" s="712"/>
      <c r="Z27" s="712"/>
      <c r="AA27" s="712"/>
    </row>
    <row r="28" spans="1:34">
      <c r="F28" s="134"/>
      <c r="H28" s="704" t="s">
        <v>371</v>
      </c>
      <c r="I28" s="705"/>
      <c r="J28" s="706"/>
      <c r="K28" s="192">
        <f ca="1">((P18/D18)*100)</f>
        <v>0</v>
      </c>
      <c r="N28" s="196"/>
      <c r="S28" s="134"/>
      <c r="T28" s="113"/>
      <c r="U28" s="712"/>
      <c r="V28" s="712"/>
      <c r="W28" s="712"/>
      <c r="X28" s="712"/>
      <c r="Y28" s="712"/>
      <c r="Z28" s="712"/>
      <c r="AA28" s="712"/>
    </row>
    <row r="29" spans="1:34">
      <c r="F29" s="134"/>
      <c r="H29" s="704" t="s">
        <v>374</v>
      </c>
      <c r="I29" s="705"/>
      <c r="J29" s="706"/>
      <c r="K29" s="197">
        <f ca="1">((W18/1000)/D18)*100</f>
        <v>0</v>
      </c>
      <c r="M29" s="716" t="s">
        <v>375</v>
      </c>
      <c r="N29" s="717"/>
      <c r="O29" s="198" t="e">
        <f ca="1">SUM(O25:O27)</f>
        <v>#DIV/0!</v>
      </c>
      <c r="S29" s="199"/>
      <c r="T29" s="199"/>
      <c r="U29" s="200"/>
      <c r="V29" s="200"/>
      <c r="W29" s="201"/>
    </row>
    <row r="30" spans="1:34">
      <c r="F30" s="134"/>
      <c r="H30" s="718" t="s">
        <v>375</v>
      </c>
      <c r="I30" s="719"/>
      <c r="J30" s="719"/>
      <c r="K30" s="202">
        <f ca="1">SUM(K25:K29)</f>
        <v>0</v>
      </c>
      <c r="P30" s="203"/>
      <c r="S30" s="199"/>
      <c r="T30" s="199"/>
      <c r="U30" s="200"/>
      <c r="V30" s="200"/>
      <c r="W30" s="201"/>
    </row>
    <row r="31" spans="1:34" ht="44.25" customHeight="1">
      <c r="F31" s="134"/>
      <c r="M31" s="696" t="s">
        <v>356</v>
      </c>
      <c r="N31" s="660"/>
      <c r="O31" s="660"/>
      <c r="P31" s="660"/>
      <c r="Q31" s="697"/>
      <c r="S31" s="199"/>
      <c r="T31" s="199"/>
      <c r="U31" s="200"/>
      <c r="V31" s="200"/>
      <c r="W31" s="201"/>
    </row>
    <row r="32" spans="1:34">
      <c r="F32" s="134"/>
      <c r="M32" s="720" t="s">
        <v>360</v>
      </c>
      <c r="N32" s="721"/>
      <c r="O32" s="722"/>
      <c r="P32" s="723" t="s">
        <v>361</v>
      </c>
      <c r="Q32" s="724"/>
      <c r="S32" s="199"/>
      <c r="T32" s="199"/>
      <c r="U32" s="200"/>
      <c r="V32" s="200"/>
      <c r="W32" s="201"/>
    </row>
    <row r="33" spans="3:23" ht="15" customHeight="1">
      <c r="F33" s="134"/>
      <c r="G33" s="727" t="s">
        <v>459</v>
      </c>
      <c r="H33" s="727"/>
      <c r="I33" s="727"/>
      <c r="J33" s="727"/>
      <c r="M33" s="720" t="s">
        <v>365</v>
      </c>
      <c r="N33" s="721"/>
      <c r="O33" s="722"/>
      <c r="P33" s="723" t="s">
        <v>366</v>
      </c>
      <c r="Q33" s="724"/>
      <c r="S33" s="199"/>
      <c r="T33" s="199"/>
      <c r="U33" s="200"/>
      <c r="V33" s="200"/>
      <c r="W33" s="201"/>
    </row>
    <row r="34" spans="3:23">
      <c r="G34" s="727"/>
      <c r="H34" s="727"/>
      <c r="I34" s="727"/>
      <c r="J34" s="727"/>
      <c r="M34" s="720" t="s">
        <v>370</v>
      </c>
      <c r="N34" s="721"/>
      <c r="O34" s="722"/>
      <c r="P34" s="723" t="s">
        <v>366</v>
      </c>
      <c r="Q34" s="724"/>
    </row>
    <row r="35" spans="3:23">
      <c r="F35" s="134"/>
      <c r="M35" s="713" t="s">
        <v>372</v>
      </c>
      <c r="N35" s="714"/>
      <c r="O35" s="715"/>
      <c r="P35" s="725" t="s">
        <v>373</v>
      </c>
      <c r="Q35" s="726"/>
      <c r="S35" s="199"/>
      <c r="T35" s="199"/>
      <c r="U35" s="200"/>
      <c r="V35" s="200"/>
      <c r="W35" s="201"/>
    </row>
    <row r="37" spans="3:23">
      <c r="F37" s="134"/>
      <c r="S37" s="199"/>
      <c r="T37" s="199"/>
      <c r="U37" s="200"/>
      <c r="V37" s="200"/>
      <c r="W37" s="201"/>
    </row>
    <row r="39" spans="3:23">
      <c r="C39" s="134"/>
      <c r="D39" s="134"/>
      <c r="E39" s="204"/>
      <c r="F39" s="134"/>
    </row>
    <row r="40" spans="3:23" ht="15.75">
      <c r="C40" s="156"/>
    </row>
    <row r="41" spans="3:23" ht="15.75">
      <c r="C41" s="156"/>
    </row>
  </sheetData>
  <sheetProtection algorithmName="SHA-512" hashValue="lTqDR/pgfjunhnt1rcuMteq9aXZYz7wP7y2A15n/gdOb2yfISW0eBoqFBxCwB3M5IovWnLSyfX/OuZaEOWyjbA==" saltValue="XU4pUwleqKctmsMjup2DjA==" spinCount="100000" sheet="1" objects="1" scenarios="1"/>
  <mergeCells count="51">
    <mergeCell ref="U25:AA28"/>
    <mergeCell ref="H28:J28"/>
    <mergeCell ref="M35:O35"/>
    <mergeCell ref="H29:J29"/>
    <mergeCell ref="M29:N29"/>
    <mergeCell ref="H30:J30"/>
    <mergeCell ref="M34:O34"/>
    <mergeCell ref="P32:Q32"/>
    <mergeCell ref="P33:Q33"/>
    <mergeCell ref="P34:Q34"/>
    <mergeCell ref="P35:Q35"/>
    <mergeCell ref="G33:J34"/>
    <mergeCell ref="M33:O33"/>
    <mergeCell ref="M32:O32"/>
    <mergeCell ref="H24:J24"/>
    <mergeCell ref="M24:N24"/>
    <mergeCell ref="P24:R24"/>
    <mergeCell ref="M31:Q31"/>
    <mergeCell ref="H25:J25"/>
    <mergeCell ref="M25:N25"/>
    <mergeCell ref="P25:R25"/>
    <mergeCell ref="H26:J26"/>
    <mergeCell ref="M26:N26"/>
    <mergeCell ref="P26:R26"/>
    <mergeCell ref="H27:J27"/>
    <mergeCell ref="M27:N27"/>
    <mergeCell ref="P27:R27"/>
    <mergeCell ref="B19:B22"/>
    <mergeCell ref="N19:Q19"/>
    <mergeCell ref="T19:U22"/>
    <mergeCell ref="V19:W22"/>
    <mergeCell ref="N20:P20"/>
    <mergeCell ref="N22:Q22"/>
    <mergeCell ref="H20:K21"/>
    <mergeCell ref="N21:Q21"/>
    <mergeCell ref="V24:Y24"/>
    <mergeCell ref="AA17:AH21"/>
    <mergeCell ref="B2:W2"/>
    <mergeCell ref="B3:B5"/>
    <mergeCell ref="C3:E4"/>
    <mergeCell ref="F3:R3"/>
    <mergeCell ref="S3:W3"/>
    <mergeCell ref="F4:H4"/>
    <mergeCell ref="I4:K4"/>
    <mergeCell ref="L4:N4"/>
    <mergeCell ref="O4:Q4"/>
    <mergeCell ref="R4:R5"/>
    <mergeCell ref="S4:U4"/>
    <mergeCell ref="V4:W4"/>
    <mergeCell ref="B6:B16"/>
    <mergeCell ref="B18:C18"/>
  </mergeCells>
  <dataValidations count="1">
    <dataValidation showInputMessage="1" showErrorMessage="1" sqref="C6:C16"/>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2118E2D1D4A9648B5C8B5EB449A506A" ma:contentTypeVersion="14" ma:contentTypeDescription="Create a new document." ma:contentTypeScope="" ma:versionID="d80c44434bcfe1098f7093f2957641a6">
  <xsd:schema xmlns:xsd="http://www.w3.org/2001/XMLSchema" xmlns:xs="http://www.w3.org/2001/XMLSchema" xmlns:p="http://schemas.microsoft.com/office/2006/metadata/properties" xmlns:ns3="8ec753f2-c071-48c0-a0c6-11b1a032ed28" xmlns:ns4="121f0f0a-47f4-4e8a-ad66-48f9fc03b2a9" targetNamespace="http://schemas.microsoft.com/office/2006/metadata/properties" ma:root="true" ma:fieldsID="5734557d5f9081deb91477c99c550255" ns3:_="" ns4:_="">
    <xsd:import namespace="8ec753f2-c071-48c0-a0c6-11b1a032ed28"/>
    <xsd:import namespace="121f0f0a-47f4-4e8a-ad66-48f9fc03b2a9"/>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DateTaken" minOccurs="0"/>
                <xsd:element ref="ns4:MediaServiceLocation"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c753f2-c071-48c0-a0c6-11b1a032ed28"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1f0f0a-47f4-4e8a-ad66-48f9fc03b2a9"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MediaServiceAutoTags" ma:description="" ma:internalName="MediaServiceAutoTags" ma:readOnly="true">
      <xsd:simpleType>
        <xsd:restriction base="dms:Text"/>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Location" ma:index="15" nillable="true" ma:displayName="MediaServiceLoca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W o r k b o o k S t a t e   x m l n s : i = " h t t p : / / w w w . w 3 . o r g / 2 0 0 1 / X M L S c h e m a - i n s t a n c e "   x m l n s = " h t t p : / / s c h e m a s . m i c r o s o f t . c o m / P o w e r B I A d d I n " > < L a s t P r o v i d e d R a n g e N a m e I d > 0 < / L a s t P r o v i d e d R a n g e N a m e I d > < L a s t U s e d G r o u p O b j e c t I d > < / L a s t U s e d G r o u p O b j e c t I d > < T i l e s L i s t > < T i l e s / > < / T i l e s L i s t > < / W o r k b o o k S t a t e > 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FB1D359-5258-4203-841F-64742682F9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c753f2-c071-48c0-a0c6-11b1a032ed28"/>
    <ds:schemaRef ds:uri="121f0f0a-47f4-4e8a-ad66-48f9fc03b2a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92A2C98-203B-4445-9D7E-190E355AE9E5}">
  <ds:schemaRefs>
    <ds:schemaRef ds:uri="http://schemas.microsoft.com/sharepoint/v3/contenttype/forms"/>
  </ds:schemaRefs>
</ds:datastoreItem>
</file>

<file path=customXml/itemProps3.xml><?xml version="1.0" encoding="utf-8"?>
<ds:datastoreItem xmlns:ds="http://schemas.openxmlformats.org/officeDocument/2006/customXml" ds:itemID="{26C485C6-0712-4DBC-B454-B02D835F0CA9}">
  <ds:schemaRefs>
    <ds:schemaRef ds:uri="http://schemas.microsoft.com/PowerBIAddIn"/>
  </ds:schemaRefs>
</ds:datastoreItem>
</file>

<file path=customXml/itemProps4.xml><?xml version="1.0" encoding="utf-8"?>
<ds:datastoreItem xmlns:ds="http://schemas.openxmlformats.org/officeDocument/2006/customXml" ds:itemID="{C6BDB4B7-1AC4-4A96-85EC-9F828B1E661C}">
  <ds:schemaRefs>
    <ds:schemaRef ds:uri="8ec753f2-c071-48c0-a0c6-11b1a032ed28"/>
    <ds:schemaRef ds:uri="http://schemas.microsoft.com/office/infopath/2007/PartnerControls"/>
    <ds:schemaRef ds:uri="http://schemas.openxmlformats.org/package/2006/metadata/core-properties"/>
    <ds:schemaRef ds:uri="http://purl.org/dc/terms/"/>
    <ds:schemaRef ds:uri="http://purl.org/dc/elements/1.1/"/>
    <ds:schemaRef ds:uri="http://purl.org/dc/dcmitype/"/>
    <ds:schemaRef ds:uri="http://schemas.microsoft.com/office/2006/metadata/properties"/>
    <ds:schemaRef ds:uri="http://schemas.microsoft.com/office/2006/documentManagement/types"/>
    <ds:schemaRef ds:uri="121f0f0a-47f4-4e8a-ad66-48f9fc03b2a9"/>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BIENVENIDOS</vt:lpstr>
      <vt:lpstr>FORMULARIO</vt:lpstr>
      <vt:lpstr>INGREDIENTES</vt:lpstr>
      <vt:lpstr>ANÁLISIS</vt:lpstr>
      <vt:lpstr>APORTE NUTRICIONAL</vt:lpstr>
      <vt:lpstr>EJEMPLO DE RECETAS Y PROCESO</vt:lpstr>
      <vt:lpstr>EJEMPLO RECETA DESAYUNO</vt:lpstr>
      <vt:lpstr>APORTE NUTRICIONAL EJ. DESAYUNO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Alejandra Suarez;Daniel Prada</dc:creator>
  <cp:keywords/>
  <dc:description/>
  <cp:lastModifiedBy>Daniel Roberto Prada Granada</cp:lastModifiedBy>
  <cp:revision/>
  <dcterms:created xsi:type="dcterms:W3CDTF">2021-05-01T16:31:11Z</dcterms:created>
  <dcterms:modified xsi:type="dcterms:W3CDTF">2021-08-12T22:00:59Z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0x01010082118E2D1D4A9648B5C8B5EB449A506A</vt:lpwstr>
  </property>
</Properties>
</file>