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slicers/slicer1.xml" ContentType="application/vnd.ms-excel.slicer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6.xml" ContentType="application/vnd.openxmlformats-officedocument.drawing+xml"/>
  <Override PartName="/xl/slicers/slicer2.xml" ContentType="application/vnd.ms-excel.slicer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slicers/slicer3.xml" ContentType="application/vnd.ms-excel.slicer+xml"/>
  <Override PartName="/xl/tables/table1.xml" ContentType="application/vnd.openxmlformats-officedocument.spreadsheetml.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drawings/drawing8.xml" ContentType="application/vnd.openxmlformats-officedocument.drawing+xml"/>
  <Override PartName="/xl/slicers/slicer4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unisabanaedu-my.sharepoint.com/personal/mariadom_unisabana_edu_co/Documents/DOCUMENTOS CLOUD/2021/Acreditación/Autoevaluación/Factor 11 Organización y administración/"/>
    </mc:Choice>
  </mc:AlternateContent>
  <xr:revisionPtr revIDLastSave="0" documentId="8_{6DDC69C0-0247-4D4D-BC15-BC82B541AD2F}" xr6:coauthVersionLast="47" xr6:coauthVersionMax="47" xr10:uidLastSave="{00000000-0000-0000-0000-000000000000}"/>
  <bookViews>
    <workbookView xWindow="-120" yWindow="-120" windowWidth="20730" windowHeight="11160" xr2:uid="{BC28BD48-D9EE-4178-B8B0-54E9A3FED4D7}"/>
  </bookViews>
  <sheets>
    <sheet name="Ppto Innovación" sheetId="18" r:id="rId1"/>
    <sheet name="poblacion" sheetId="13" r:id="rId2"/>
    <sheet name="dashboard" sheetId="12" r:id="rId3"/>
    <sheet name="Hoja1" sheetId="19" state="hidden" r:id="rId4"/>
    <sheet name="Hoja2" sheetId="20" state="hidden" r:id="rId5"/>
    <sheet name="modelo" sheetId="4" r:id="rId6"/>
    <sheet name="Hoja3" sheetId="21" r:id="rId7"/>
    <sheet name="A-0" sheetId="8" r:id="rId8"/>
    <sheet name="Cálculos" sheetId="17" r:id="rId9"/>
    <sheet name="Hoja4" sheetId="22" r:id="rId10"/>
    <sheet name="A-3" sheetId="1" r:id="rId11"/>
    <sheet name="A-2" sheetId="6" r:id="rId12"/>
    <sheet name="A-1" sheetId="7" r:id="rId13"/>
    <sheet name="TABLA_HOMOLOGACION" sheetId="14" r:id="rId14"/>
    <sheet name="Agrupaciones" sheetId="15" r:id="rId15"/>
    <sheet name="p_pregrado" sheetId="10" state="hidden" r:id="rId16"/>
    <sheet name="p_postgrado" sheetId="11" state="hidden" r:id="rId17"/>
    <sheet name="departamentos" sheetId="3" state="hidden" r:id="rId18"/>
    <sheet name="base" sheetId="2" state="hidden" r:id="rId19"/>
    <sheet name="variables" sheetId="9" state="hidden" r:id="rId20"/>
  </sheets>
  <externalReferences>
    <externalReference r:id="rId21"/>
  </externalReferences>
  <definedNames>
    <definedName name="_xlnm._FilterDatabase" localSheetId="4" hidden="1">Hoja2!$A$2:$D$7</definedName>
    <definedName name="_xlnm._FilterDatabase" localSheetId="13" hidden="1">TABLA_HOMOLOGACION!$A$1:$C$259</definedName>
    <definedName name="fpe">variables!$K$2</definedName>
    <definedName name="SegmentaciónDeDatos_departamento_jerarquia1">#N/A</definedName>
    <definedName name="SegmentaciónDeDatos_nombre_departamento_padre">#N/A</definedName>
    <definedName name="SegmentaciónDeDatos_nombre_departamento_padre1">#N/A</definedName>
  </definedNames>
  <calcPr calcId="191029"/>
  <pivotCaches>
    <pivotCache cacheId="0" r:id="rId22"/>
    <pivotCache cacheId="1" r:id="rId23"/>
    <pivotCache cacheId="2" r:id="rId24"/>
    <pivotCache cacheId="3" r:id="rId25"/>
    <pivotCache cacheId="4" r:id="rId26"/>
    <pivotCache cacheId="5" r:id="rId27"/>
    <pivotCache cacheId="6" r:id="rId28"/>
    <pivotCache cacheId="7" r:id="rId29"/>
    <pivotCache cacheId="8" r:id="rId30"/>
    <pivotCache cacheId="9" r:id="rId31"/>
    <pivotCache cacheId="10" r:id="rId32"/>
    <pivotCache cacheId="11" r:id="rId33"/>
    <pivotCache cacheId="12" r:id="rId34"/>
  </pivotCaches>
  <extLst>
    <ext xmlns:x14="http://schemas.microsoft.com/office/spreadsheetml/2009/9/main" uri="{876F7934-8845-4945-9796-88D515C7AA90}">
      <x14:pivotCaches>
        <pivotCache cacheId="13" r:id="rId35"/>
        <pivotCache cacheId="14" r:id="rId36"/>
        <pivotCache cacheId="15" r:id="rId37"/>
      </x14:pivotCaches>
    </ext>
    <ext xmlns:x14="http://schemas.microsoft.com/office/spreadsheetml/2009/9/main" uri="{BBE1A952-AA13-448e-AADC-164F8A28A991}">
      <x14:slicerCaches>
        <x14:slicerCache r:id="rId38"/>
        <x14:slicerCache r:id="rId39"/>
        <x14:slicerCache r:id="rId4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A2020_cf6cfca5-cc6d-46a7-b20b-06a281db45a2" name="A2020" connection="Consulta - A2020"/>
          <x15:modelTable id="IF_c71e2de1-0126-49dc-a2d7-2bb244e13272" name="IF" connection="Consulta - IF"/>
          <x15:modelTable id="poblacion_pregrado_99698c36-abe2-4a6d-b41c-8516b21882b4" name="poblacion_pregrado" connection="Consulta - poblacion_pregrado"/>
          <x15:modelTable id="poblacion_postgrado_897be75e-2e7a-4ff1-b928-6c3918b2fbf8" name="poblacion_postgrado" connection="Consulta - poblacion_postgrado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52" i="4" l="1"/>
  <c r="F33" i="12" l="1"/>
  <c r="B6" i="18"/>
  <c r="B5" i="18"/>
  <c r="B12" i="18" s="1"/>
  <c r="F6" i="18"/>
  <c r="F13" i="18" s="1"/>
  <c r="J20" i="13"/>
  <c r="E32" i="17"/>
  <c r="E31" i="17"/>
  <c r="D32" i="17"/>
  <c r="D31" i="17"/>
  <c r="C32" i="17"/>
  <c r="C31" i="17"/>
  <c r="B32" i="17"/>
  <c r="B31" i="17"/>
  <c r="E33" i="17" l="1"/>
  <c r="CF43" i="8" l="1"/>
  <c r="AV21" i="8"/>
  <c r="AV16" i="8"/>
  <c r="AV15" i="8"/>
  <c r="B13" i="17" l="1"/>
  <c r="AJ78" i="8" l="1"/>
  <c r="J8" i="17"/>
  <c r="K10" i="17" s="1"/>
  <c r="L10" i="17" s="1"/>
  <c r="B33" i="17" l="1"/>
  <c r="C13" i="17"/>
  <c r="T23" i="4" l="1"/>
  <c r="J26" i="17" l="1"/>
  <c r="G31" i="17"/>
  <c r="D92" i="18" l="1"/>
  <c r="E95" i="18" s="1"/>
  <c r="C92" i="18"/>
  <c r="D96" i="18" s="1"/>
  <c r="B92" i="18"/>
  <c r="E91" i="18"/>
  <c r="F91" i="18" s="1"/>
  <c r="E90" i="18"/>
  <c r="B80" i="18"/>
  <c r="B66" i="18"/>
  <c r="B50" i="18"/>
  <c r="B51" i="18" s="1"/>
  <c r="B43" i="18"/>
  <c r="E31" i="18"/>
  <c r="E29" i="18"/>
  <c r="E28" i="18"/>
  <c r="B27" i="18"/>
  <c r="B26" i="18"/>
  <c r="F24" i="18"/>
  <c r="E23" i="18"/>
  <c r="F23" i="18" s="1"/>
  <c r="F22" i="18"/>
  <c r="F31" i="18" l="1"/>
  <c r="E96" i="18"/>
  <c r="E30" i="18"/>
  <c r="F30" i="18" s="1"/>
  <c r="B32" i="18"/>
  <c r="E25" i="18"/>
  <c r="E32" i="18" s="1"/>
  <c r="F32" i="18" s="1"/>
  <c r="F29" i="18"/>
  <c r="E92" i="18"/>
  <c r="D95" i="18"/>
  <c r="D51" i="18"/>
  <c r="B52" i="18"/>
  <c r="D52" i="18" s="1"/>
  <c r="D50" i="18"/>
  <c r="E34" i="18" l="1"/>
  <c r="F25" i="18"/>
  <c r="D53" i="18"/>
  <c r="B56" i="18" s="1"/>
  <c r="B57" i="18" s="1"/>
  <c r="C57" i="18" s="1"/>
  <c r="B58" i="18" l="1"/>
  <c r="B59" i="18" s="1"/>
  <c r="C59" i="18" s="1"/>
  <c r="C58" i="18" l="1"/>
  <c r="B60" i="18"/>
  <c r="C60" i="18" s="1"/>
  <c r="C142" i="17" l="1"/>
  <c r="F130" i="17"/>
  <c r="F131" i="17"/>
  <c r="C132" i="17"/>
  <c r="D132" i="17"/>
  <c r="E136" i="17" s="1"/>
  <c r="E132" i="17"/>
  <c r="F135" i="17" s="1"/>
  <c r="C120" i="17"/>
  <c r="F132" i="17" l="1"/>
  <c r="F136" i="17"/>
  <c r="E135" i="17"/>
  <c r="F71" i="17" l="1"/>
  <c r="F73" i="17"/>
  <c r="F70" i="17"/>
  <c r="G66" i="17"/>
  <c r="G64" i="17"/>
  <c r="F65" i="17"/>
  <c r="F72" i="17" s="1"/>
  <c r="C69" i="17"/>
  <c r="C68" i="17"/>
  <c r="G72" i="17" l="1"/>
  <c r="C74" i="17"/>
  <c r="G71" i="17"/>
  <c r="G73" i="17"/>
  <c r="G65" i="17"/>
  <c r="F67" i="17"/>
  <c r="C108" i="17"/>
  <c r="C140" i="17" s="1"/>
  <c r="C92" i="17"/>
  <c r="C93" i="17" s="1"/>
  <c r="C94" i="17" s="1"/>
  <c r="E94" i="17" s="1"/>
  <c r="C85" i="17"/>
  <c r="F76" i="17" l="1"/>
  <c r="C139" i="17"/>
  <c r="C145" i="17" s="1"/>
  <c r="G67" i="17"/>
  <c r="F74" i="17"/>
  <c r="G74" i="17" s="1"/>
  <c r="E92" i="17"/>
  <c r="E93" i="17"/>
  <c r="E95" i="17" l="1"/>
  <c r="C98" i="17" s="1"/>
  <c r="C99" i="17" s="1"/>
  <c r="D99" i="17" s="1"/>
  <c r="C100" i="17" l="1"/>
  <c r="D100" i="17"/>
  <c r="C101" i="17"/>
  <c r="D101" i="17" l="1"/>
  <c r="C102" i="17"/>
  <c r="D102" i="17" s="1"/>
  <c r="T21" i="4"/>
  <c r="O54" i="17"/>
  <c r="N54" i="17"/>
  <c r="M54" i="17"/>
  <c r="J54" i="17"/>
  <c r="O53" i="17"/>
  <c r="N53" i="17"/>
  <c r="M53" i="17"/>
  <c r="J53" i="17"/>
  <c r="O52" i="17"/>
  <c r="N52" i="17"/>
  <c r="M52" i="17"/>
  <c r="J52" i="17"/>
  <c r="O47" i="17"/>
  <c r="N47" i="17"/>
  <c r="M47" i="17"/>
  <c r="J47" i="17"/>
  <c r="P47" i="17" s="1"/>
  <c r="O46" i="17"/>
  <c r="N46" i="17"/>
  <c r="M46" i="17"/>
  <c r="J46" i="17"/>
  <c r="Q47" i="17" l="1"/>
  <c r="R47" i="17" s="1"/>
  <c r="P52" i="17"/>
  <c r="Q52" i="17" s="1"/>
  <c r="V52" i="17" s="1"/>
  <c r="W52" i="17" s="1"/>
  <c r="P53" i="17"/>
  <c r="Q53" i="17" s="1"/>
  <c r="V53" i="17" s="1"/>
  <c r="W53" i="17" s="1"/>
  <c r="P54" i="17"/>
  <c r="Q54" i="17" s="1"/>
  <c r="V54" i="17" s="1"/>
  <c r="W54" i="17" s="1"/>
  <c r="P46" i="17"/>
  <c r="Q46" i="17" s="1"/>
  <c r="V46" i="17" s="1"/>
  <c r="W46" i="17" s="1"/>
  <c r="V47" i="17" l="1"/>
  <c r="W47" i="17" s="1"/>
  <c r="R46" i="17"/>
  <c r="T46" i="17" s="1"/>
  <c r="R54" i="17"/>
  <c r="R53" i="17"/>
  <c r="R52" i="17"/>
  <c r="S47" i="17"/>
  <c r="U47" i="17"/>
  <c r="T47" i="17"/>
  <c r="U46" i="17" l="1"/>
  <c r="S46" i="17"/>
  <c r="S53" i="17"/>
  <c r="T53" i="17"/>
  <c r="U53" i="17"/>
  <c r="S54" i="17"/>
  <c r="U54" i="17"/>
  <c r="T54" i="17"/>
  <c r="S52" i="17"/>
  <c r="U52" i="17"/>
  <c r="T52" i="17"/>
  <c r="D33" i="17"/>
  <c r="E13" i="17"/>
  <c r="K13" i="17" s="1"/>
  <c r="D13" i="17"/>
  <c r="E24" i="17"/>
  <c r="D24" i="17"/>
  <c r="C24" i="17"/>
  <c r="B17" i="17" l="1"/>
  <c r="J13" i="17"/>
  <c r="L13" i="17" s="1"/>
  <c r="B6" i="17"/>
  <c r="C33" i="17"/>
  <c r="B28" i="17" s="1"/>
  <c r="O50" i="4" l="1"/>
  <c r="R8" i="8"/>
  <c r="AD8" i="8" s="1"/>
  <c r="C5" i="7"/>
  <c r="AP8" i="8" l="1"/>
  <c r="BB8" i="8" s="1"/>
  <c r="BN8" i="8" l="1"/>
  <c r="J30" i="12"/>
  <c r="BZ8" i="8" l="1"/>
  <c r="S4" i="12"/>
  <c r="AJ4" i="12" l="1"/>
  <c r="F26" i="12"/>
  <c r="AH4" i="12"/>
  <c r="AI4" i="12"/>
  <c r="AK4" i="12"/>
  <c r="P4" i="12"/>
  <c r="Q4" i="12"/>
  <c r="R4" i="12"/>
  <c r="T4" i="12"/>
  <c r="O26" i="4"/>
  <c r="T66" i="4"/>
  <c r="T64" i="4"/>
  <c r="T58" i="4" l="1"/>
  <c r="T56" i="4"/>
  <c r="T54" i="4"/>
  <c r="T52" i="4"/>
  <c r="Z8" i="4" l="1"/>
  <c r="T36" i="4"/>
  <c r="W36" i="4" s="1"/>
  <c r="T27" i="4" l="1"/>
  <c r="Z6" i="4" l="1"/>
  <c r="DH72" i="8"/>
  <c r="DL72" i="8" s="1"/>
  <c r="DG72" i="8"/>
  <c r="DK72" i="8" s="1"/>
  <c r="T16" i="4"/>
  <c r="T32" i="4" l="1"/>
  <c r="T29" i="4"/>
  <c r="T26" i="4"/>
  <c r="W26" i="4" s="1"/>
  <c r="T18" i="4" l="1"/>
  <c r="T13" i="4"/>
  <c r="T8" i="4"/>
  <c r="B3" i="4"/>
  <c r="AH16" i="12" s="1"/>
  <c r="T6" i="4"/>
  <c r="P5" i="12" l="1"/>
  <c r="P17" i="12" s="1"/>
  <c r="AI20" i="4" l="1"/>
  <c r="C27" i="12" l="1"/>
  <c r="C32" i="12" s="1"/>
  <c r="AD2" i="4" l="1"/>
  <c r="B8" i="4"/>
  <c r="C33" i="12"/>
  <c r="C34" i="12"/>
  <c r="C35" i="12" l="1"/>
  <c r="C30" i="12"/>
  <c r="AG14" i="12"/>
  <c r="O3" i="12" s="1"/>
  <c r="B1" i="8" l="1"/>
  <c r="AA5" i="8" l="1"/>
  <c r="C5" i="8"/>
  <c r="T10" i="8"/>
  <c r="AF10" i="8" s="1"/>
  <c r="AR10" i="8" s="1"/>
  <c r="BD10" i="8" s="1"/>
  <c r="L9" i="8"/>
  <c r="L8" i="8"/>
  <c r="BP10" i="8" l="1"/>
  <c r="CB10" i="8" s="1"/>
  <c r="CN10" i="8" s="1"/>
  <c r="CZ10" i="8" s="1"/>
  <c r="CL8" i="8" l="1"/>
  <c r="CX8" i="8" s="1"/>
  <c r="P50" i="4" l="1"/>
  <c r="P33" i="4"/>
  <c r="P26" i="4"/>
  <c r="B9" i="4" l="1"/>
  <c r="AE8" i="4" s="1"/>
  <c r="G2" i="9"/>
  <c r="G3" i="9"/>
  <c r="E3" i="9"/>
  <c r="E4" i="9" s="1"/>
  <c r="I2" i="4" l="1"/>
  <c r="B1" i="12" s="1"/>
  <c r="DI9" i="8" l="1"/>
  <c r="J8" i="8"/>
  <c r="DH9" i="8"/>
  <c r="CW8" i="8"/>
  <c r="CZ8" i="8" s="1"/>
  <c r="DH8" i="8" s="1"/>
  <c r="CK8" i="8"/>
  <c r="CN8" i="8" s="1"/>
  <c r="BY8" i="8"/>
  <c r="CB8" i="8" s="1"/>
  <c r="BM8" i="8"/>
  <c r="BP8" i="8" s="1"/>
  <c r="BA8" i="8"/>
  <c r="BD8" i="8" s="1"/>
  <c r="AO8" i="8"/>
  <c r="AR8" i="8" s="1"/>
  <c r="AC8" i="8"/>
  <c r="AF8" i="8" s="1"/>
  <c r="AB5" i="8"/>
  <c r="Q8" i="8"/>
  <c r="T8" i="8" s="1"/>
  <c r="AC5" i="8" l="1"/>
  <c r="AD5" i="8" s="1"/>
  <c r="AF5" i="8" l="1"/>
  <c r="AH5" i="8" s="1"/>
  <c r="AJ5" i="8" s="1"/>
  <c r="E8" i="8"/>
  <c r="H8" i="8" s="1"/>
  <c r="D9" i="8"/>
  <c r="E9" i="8" s="1"/>
  <c r="O9" i="8"/>
  <c r="X9" i="8" s="1"/>
  <c r="O8" i="8"/>
  <c r="D9" i="7"/>
  <c r="E9" i="7" s="1"/>
  <c r="F9" i="7" s="1"/>
  <c r="G9" i="7" s="1"/>
  <c r="H9" i="7" s="1"/>
  <c r="I9" i="7" s="1"/>
  <c r="J9" i="7" s="1"/>
  <c r="K9" i="7" s="1"/>
  <c r="L9" i="7" s="1"/>
  <c r="D8" i="7"/>
  <c r="E8" i="7" s="1"/>
  <c r="B1" i="7"/>
  <c r="K4" i="4"/>
  <c r="C3" i="4" s="1"/>
  <c r="AI16" i="12" s="1"/>
  <c r="C7" i="1"/>
  <c r="D9" i="6"/>
  <c r="E9" i="6" s="1"/>
  <c r="F9" i="6" s="1"/>
  <c r="G9" i="6" s="1"/>
  <c r="H9" i="6" s="1"/>
  <c r="I9" i="6" s="1"/>
  <c r="J9" i="6" s="1"/>
  <c r="K9" i="6" s="1"/>
  <c r="L9" i="6" s="1"/>
  <c r="D8" i="6"/>
  <c r="E8" i="6" s="1"/>
  <c r="B1" i="6"/>
  <c r="C18" i="1"/>
  <c r="C8" i="4"/>
  <c r="Q5" i="12" l="1"/>
  <c r="Q17" i="12" s="1"/>
  <c r="D27" i="12"/>
  <c r="AE4" i="4"/>
  <c r="L4" i="4"/>
  <c r="AH5" i="12"/>
  <c r="X8" i="8"/>
  <c r="V8" i="8"/>
  <c r="AA8" i="8"/>
  <c r="AA9" i="8"/>
  <c r="AJ9" i="8" s="1"/>
  <c r="P9" i="8"/>
  <c r="Q9" i="8" s="1"/>
  <c r="C7" i="6"/>
  <c r="F8" i="7"/>
  <c r="G8" i="7" s="1"/>
  <c r="H8" i="7" s="1"/>
  <c r="I8" i="7" s="1"/>
  <c r="J8" i="7" s="1"/>
  <c r="K8" i="7" s="1"/>
  <c r="L8" i="7" s="1"/>
  <c r="F8" i="6"/>
  <c r="G8" i="6" s="1"/>
  <c r="H8" i="6" s="1"/>
  <c r="I8" i="6" s="1"/>
  <c r="J8" i="6" s="1"/>
  <c r="K8" i="6" s="1"/>
  <c r="L8" i="6" s="1"/>
  <c r="D9" i="1"/>
  <c r="E9" i="1" s="1"/>
  <c r="F9" i="1" s="1"/>
  <c r="G9" i="1" s="1"/>
  <c r="H9" i="1" s="1"/>
  <c r="I9" i="1" s="1"/>
  <c r="J9" i="1" s="1"/>
  <c r="K9" i="1" s="1"/>
  <c r="L9" i="1" s="1"/>
  <c r="D8" i="1"/>
  <c r="E8" i="1" s="1"/>
  <c r="D7" i="1"/>
  <c r="C18" i="6"/>
  <c r="D34" i="12"/>
  <c r="D33" i="12"/>
  <c r="D3" i="4" l="1"/>
  <c r="AJ16" i="12" s="1"/>
  <c r="R5" i="12"/>
  <c r="R17" i="12" s="1"/>
  <c r="E27" i="12"/>
  <c r="E32" i="12" s="1"/>
  <c r="D35" i="12"/>
  <c r="D30" i="12"/>
  <c r="E7" i="1"/>
  <c r="D32" i="12"/>
  <c r="M4" i="4"/>
  <c r="AF4" i="4"/>
  <c r="AE7" i="4"/>
  <c r="AE6" i="4"/>
  <c r="C17" i="4"/>
  <c r="AH7" i="12"/>
  <c r="C9" i="4"/>
  <c r="AF8" i="4" s="1"/>
  <c r="C7" i="7"/>
  <c r="AI5" i="12"/>
  <c r="AJ8" i="8"/>
  <c r="AH8" i="8"/>
  <c r="F8" i="1"/>
  <c r="G8" i="1" s="1"/>
  <c r="H8" i="1" s="1"/>
  <c r="I8" i="1" s="1"/>
  <c r="J8" i="1" s="1"/>
  <c r="K8" i="1" s="1"/>
  <c r="L8" i="1" s="1"/>
  <c r="AM8" i="8"/>
  <c r="AM9" i="8"/>
  <c r="AV9" i="8" s="1"/>
  <c r="AB9" i="8"/>
  <c r="D7" i="6"/>
  <c r="E46" i="1"/>
  <c r="E57" i="1"/>
  <c r="E34" i="1"/>
  <c r="E48" i="1"/>
  <c r="E17" i="1"/>
  <c r="E33" i="12"/>
  <c r="E62" i="1"/>
  <c r="E37" i="1"/>
  <c r="E71" i="1"/>
  <c r="E28" i="1"/>
  <c r="E53" i="1"/>
  <c r="E72" i="1"/>
  <c r="E78" i="1"/>
  <c r="D8" i="4"/>
  <c r="E55" i="1"/>
  <c r="E8" i="4"/>
  <c r="C18" i="7"/>
  <c r="E42" i="1"/>
  <c r="E3" i="4" l="1"/>
  <c r="S5" i="12"/>
  <c r="S17" i="12" s="1"/>
  <c r="D17" i="4"/>
  <c r="AI7" i="12"/>
  <c r="AF7" i="4"/>
  <c r="C7" i="8"/>
  <c r="L7" i="8" s="1"/>
  <c r="F7" i="1"/>
  <c r="D7" i="7"/>
  <c r="E7" i="7" s="1"/>
  <c r="F7" i="7" s="1"/>
  <c r="F27" i="12"/>
  <c r="N4" i="4"/>
  <c r="AG4" i="4"/>
  <c r="AG7" i="4"/>
  <c r="AG6" i="4"/>
  <c r="AF6" i="4"/>
  <c r="E9" i="4"/>
  <c r="D9" i="4"/>
  <c r="AG8" i="4" s="1"/>
  <c r="E17" i="4"/>
  <c r="AV8" i="8"/>
  <c r="AT8" i="8"/>
  <c r="AY8" i="8"/>
  <c r="E7" i="6"/>
  <c r="AY9" i="8"/>
  <c r="BH9" i="8" s="1"/>
  <c r="AN9" i="8"/>
  <c r="AO9" i="8" s="1"/>
  <c r="AC9" i="8"/>
  <c r="E32" i="1"/>
  <c r="E49" i="1"/>
  <c r="E77" i="1"/>
  <c r="E43" i="6"/>
  <c r="E43" i="1"/>
  <c r="E57" i="6"/>
  <c r="E45" i="1"/>
  <c r="E61" i="6"/>
  <c r="E65" i="1"/>
  <c r="E68" i="6"/>
  <c r="E64" i="6"/>
  <c r="E68" i="7"/>
  <c r="E56" i="7"/>
  <c r="E33" i="6"/>
  <c r="E63" i="1"/>
  <c r="E14" i="1"/>
  <c r="E66" i="1"/>
  <c r="E28" i="6"/>
  <c r="E42" i="6"/>
  <c r="E23" i="7"/>
  <c r="E67" i="1"/>
  <c r="E84" i="6"/>
  <c r="E70" i="1"/>
  <c r="E77" i="6"/>
  <c r="E67" i="6"/>
  <c r="E43" i="7"/>
  <c r="E84" i="7"/>
  <c r="E24" i="1"/>
  <c r="E34" i="12"/>
  <c r="E65" i="6"/>
  <c r="E20" i="1"/>
  <c r="E32" i="7"/>
  <c r="E30" i="1"/>
  <c r="E66" i="6"/>
  <c r="E52" i="1"/>
  <c r="E37" i="6"/>
  <c r="E60" i="1"/>
  <c r="E28" i="7"/>
  <c r="E44" i="1"/>
  <c r="E56" i="6"/>
  <c r="E51" i="1"/>
  <c r="E59" i="1"/>
  <c r="E41" i="6"/>
  <c r="E58" i="1"/>
  <c r="E29" i="6"/>
  <c r="E17" i="6"/>
  <c r="E64" i="1"/>
  <c r="E15" i="6"/>
  <c r="E19" i="1"/>
  <c r="E20" i="6"/>
  <c r="E48" i="6"/>
  <c r="E25" i="6"/>
  <c r="E69" i="1"/>
  <c r="E84" i="1"/>
  <c r="E70" i="7"/>
  <c r="E42" i="7"/>
  <c r="E33" i="1"/>
  <c r="E63" i="7"/>
  <c r="E26" i="1"/>
  <c r="E49" i="6"/>
  <c r="E70" i="6"/>
  <c r="E54" i="1"/>
  <c r="E13" i="6"/>
  <c r="E56" i="1"/>
  <c r="E13" i="1"/>
  <c r="E55" i="6"/>
  <c r="E30" i="7"/>
  <c r="E63" i="6"/>
  <c r="E15" i="1"/>
  <c r="E72" i="6"/>
  <c r="E51" i="7"/>
  <c r="E35" i="1"/>
  <c r="E18" i="6"/>
  <c r="E41" i="1"/>
  <c r="E71" i="6"/>
  <c r="E31" i="1"/>
  <c r="E16" i="1"/>
  <c r="E19" i="6"/>
  <c r="E26" i="6"/>
  <c r="E62" i="6"/>
  <c r="E29" i="1"/>
  <c r="E68" i="1"/>
  <c r="E61" i="1"/>
  <c r="E50" i="1"/>
  <c r="E22" i="1"/>
  <c r="E23" i="1"/>
  <c r="E18" i="1"/>
  <c r="E25" i="1"/>
  <c r="E79" i="1"/>
  <c r="E83" i="1"/>
  <c r="E38" i="1"/>
  <c r="E31" i="6"/>
  <c r="E59" i="6"/>
  <c r="E83" i="6"/>
  <c r="E36" i="1"/>
  <c r="E27" i="6"/>
  <c r="E27" i="1"/>
  <c r="E82" i="1"/>
  <c r="E79" i="6"/>
  <c r="E30" i="6"/>
  <c r="F3" i="4" l="1"/>
  <c r="O4" i="4"/>
  <c r="G3" i="4" s="1"/>
  <c r="AL16" i="12" s="1"/>
  <c r="AJ5" i="12"/>
  <c r="E85" i="1"/>
  <c r="J17" i="4"/>
  <c r="J16" i="4"/>
  <c r="J19" i="4" s="1"/>
  <c r="B11" i="13"/>
  <c r="E35" i="12"/>
  <c r="D9" i="13"/>
  <c r="D18" i="13"/>
  <c r="B20" i="13"/>
  <c r="E47" i="1"/>
  <c r="E73" i="1" s="1"/>
  <c r="E80" i="1"/>
  <c r="E87" i="1" s="1"/>
  <c r="E30" i="12"/>
  <c r="E21" i="1"/>
  <c r="E39" i="1" s="1"/>
  <c r="P4" i="4"/>
  <c r="D7" i="8"/>
  <c r="E7" i="8" s="1"/>
  <c r="F7" i="8" s="1"/>
  <c r="O7" i="8"/>
  <c r="F32" i="12"/>
  <c r="G7" i="1"/>
  <c r="BH8" i="8"/>
  <c r="BF8" i="8"/>
  <c r="F7" i="6"/>
  <c r="G7" i="6" s="1"/>
  <c r="BK8" i="8"/>
  <c r="G7" i="7"/>
  <c r="BK9" i="8"/>
  <c r="BT9" i="8" s="1"/>
  <c r="AZ9" i="8"/>
  <c r="E31" i="7"/>
  <c r="E69" i="7"/>
  <c r="E13" i="7"/>
  <c r="E66" i="7"/>
  <c r="E72" i="7"/>
  <c r="E59" i="7"/>
  <c r="E34" i="7"/>
  <c r="E67" i="7"/>
  <c r="E45" i="6"/>
  <c r="E15" i="7"/>
  <c r="E24" i="7"/>
  <c r="E77" i="7"/>
  <c r="E48" i="7"/>
  <c r="E79" i="7"/>
  <c r="E16" i="7"/>
  <c r="E34" i="6"/>
  <c r="E69" i="6"/>
  <c r="E33" i="7"/>
  <c r="E35" i="6"/>
  <c r="E54" i="7"/>
  <c r="E37" i="7"/>
  <c r="E26" i="7"/>
  <c r="E41" i="7"/>
  <c r="E22" i="6"/>
  <c r="E57" i="7"/>
  <c r="E35" i="7"/>
  <c r="E52" i="6"/>
  <c r="E53" i="6"/>
  <c r="E65" i="7"/>
  <c r="E44" i="6"/>
  <c r="E18" i="7"/>
  <c r="E36" i="7"/>
  <c r="E27" i="7"/>
  <c r="E24" i="6"/>
  <c r="E32" i="6"/>
  <c r="E49" i="7"/>
  <c r="E61" i="7"/>
  <c r="E19" i="7"/>
  <c r="E50" i="6"/>
  <c r="E22" i="7"/>
  <c r="E54" i="6"/>
  <c r="E82" i="7"/>
  <c r="E36" i="6"/>
  <c r="E60" i="7"/>
  <c r="E62" i="7"/>
  <c r="E58" i="6"/>
  <c r="E17" i="7"/>
  <c r="E51" i="6"/>
  <c r="E83" i="7"/>
  <c r="E46" i="6"/>
  <c r="E71" i="7"/>
  <c r="E44" i="7"/>
  <c r="E23" i="6"/>
  <c r="E46" i="7"/>
  <c r="E14" i="6"/>
  <c r="E58" i="7"/>
  <c r="E50" i="7"/>
  <c r="E38" i="6"/>
  <c r="E38" i="7"/>
  <c r="E82" i="6"/>
  <c r="E60" i="6"/>
  <c r="E45" i="7"/>
  <c r="E78" i="6"/>
  <c r="E64" i="7"/>
  <c r="E53" i="7"/>
  <c r="E20" i="7"/>
  <c r="E16" i="6"/>
  <c r="E55" i="7"/>
  <c r="E25" i="7"/>
  <c r="E78" i="7"/>
  <c r="E52" i="7"/>
  <c r="E14" i="7"/>
  <c r="E29" i="7"/>
  <c r="L16" i="4" l="1"/>
  <c r="E80" i="6"/>
  <c r="K17" i="4"/>
  <c r="X7" i="8"/>
  <c r="T5" i="12"/>
  <c r="T17" i="12" s="1"/>
  <c r="G27" i="12"/>
  <c r="G32" i="12" s="1"/>
  <c r="AK5" i="12"/>
  <c r="B7" i="13"/>
  <c r="B16" i="13" s="1"/>
  <c r="AK16" i="12"/>
  <c r="J18" i="4"/>
  <c r="L17" i="4"/>
  <c r="E21" i="7"/>
  <c r="E39" i="7" s="1"/>
  <c r="E47" i="7"/>
  <c r="E73" i="7" s="1"/>
  <c r="E85" i="7"/>
  <c r="E80" i="7"/>
  <c r="E87" i="7" s="1"/>
  <c r="D19" i="13"/>
  <c r="G20" i="13"/>
  <c r="C20" i="13"/>
  <c r="F20" i="13"/>
  <c r="H19" i="13"/>
  <c r="G34" i="12" s="1"/>
  <c r="E75" i="1"/>
  <c r="E89" i="1" s="1"/>
  <c r="E90" i="1" s="1"/>
  <c r="P7" i="8"/>
  <c r="Q7" i="8" s="1"/>
  <c r="R7" i="8" s="1"/>
  <c r="F7" i="13"/>
  <c r="F16" i="13" s="1"/>
  <c r="K16" i="4"/>
  <c r="K18" i="4" s="1"/>
  <c r="AA7" i="8"/>
  <c r="AB7" i="8" s="1"/>
  <c r="H7" i="1"/>
  <c r="E47" i="6"/>
  <c r="E73" i="6" s="1"/>
  <c r="E21" i="6"/>
  <c r="E39" i="6" s="1"/>
  <c r="E85" i="6"/>
  <c r="BT8" i="8"/>
  <c r="BR8" i="8"/>
  <c r="BW8" i="8"/>
  <c r="H7" i="7"/>
  <c r="H7" i="8"/>
  <c r="J7" i="8" s="1"/>
  <c r="BW9" i="8"/>
  <c r="BL9" i="8"/>
  <c r="BA9" i="8"/>
  <c r="H7" i="6"/>
  <c r="AA29" i="8"/>
  <c r="AB56" i="8"/>
  <c r="AA58" i="8"/>
  <c r="AB38" i="8"/>
  <c r="L18" i="4" l="1"/>
  <c r="E87" i="6"/>
  <c r="E75" i="7"/>
  <c r="L19" i="4"/>
  <c r="D20" i="13"/>
  <c r="F34" i="12"/>
  <c r="F35" i="12" s="1"/>
  <c r="D10" i="13"/>
  <c r="H10" i="13"/>
  <c r="G11" i="13"/>
  <c r="F11" i="13"/>
  <c r="H18" i="13"/>
  <c r="H20" i="13" s="1"/>
  <c r="C11" i="13"/>
  <c r="H9" i="13"/>
  <c r="K19" i="4"/>
  <c r="AJ7" i="8"/>
  <c r="AM7" i="8"/>
  <c r="AV7" i="8" s="1"/>
  <c r="I7" i="1"/>
  <c r="E75" i="6"/>
  <c r="BX9" i="8"/>
  <c r="BY9" i="8" s="1"/>
  <c r="CF9" i="8"/>
  <c r="CF8" i="8"/>
  <c r="CD8" i="8"/>
  <c r="CI8" i="8"/>
  <c r="E89" i="7"/>
  <c r="E90" i="7" s="1"/>
  <c r="I7" i="7"/>
  <c r="AC7" i="8"/>
  <c r="AD7" i="8" s="1"/>
  <c r="T7" i="8"/>
  <c r="V7" i="8" s="1"/>
  <c r="CI9" i="8"/>
  <c r="BM9" i="8"/>
  <c r="I7" i="6"/>
  <c r="AB60" i="8"/>
  <c r="AA43" i="8"/>
  <c r="AA19" i="8"/>
  <c r="AA45" i="8"/>
  <c r="AA30" i="8"/>
  <c r="AB67" i="8"/>
  <c r="AB85" i="8"/>
  <c r="AB27" i="8"/>
  <c r="AB54" i="8"/>
  <c r="AA32" i="8"/>
  <c r="AA37" i="8"/>
  <c r="AB13" i="8"/>
  <c r="AB35" i="8"/>
  <c r="AA84" i="8"/>
  <c r="AA35" i="8"/>
  <c r="AA64" i="8"/>
  <c r="AA52" i="8"/>
  <c r="AB70" i="8"/>
  <c r="AA22" i="8"/>
  <c r="AA28" i="8"/>
  <c r="AA67" i="8"/>
  <c r="AB22" i="8"/>
  <c r="AA34" i="8"/>
  <c r="AA80" i="8"/>
  <c r="AA48" i="8"/>
  <c r="AA14" i="8"/>
  <c r="AB58" i="8"/>
  <c r="AA16" i="8"/>
  <c r="AB34" i="8"/>
  <c r="AA71" i="8"/>
  <c r="AB41" i="8"/>
  <c r="AA50" i="8"/>
  <c r="AB48" i="8"/>
  <c r="AA57" i="8"/>
  <c r="AA56" i="8"/>
  <c r="AA49" i="8"/>
  <c r="AA38" i="8"/>
  <c r="AB52" i="8"/>
  <c r="AA69" i="8"/>
  <c r="AA60" i="8"/>
  <c r="AA65" i="8"/>
  <c r="AB79" i="8"/>
  <c r="AB25" i="8"/>
  <c r="AB69" i="8"/>
  <c r="AA42" i="8"/>
  <c r="AA79" i="8"/>
  <c r="AB46" i="8"/>
  <c r="AA46" i="8"/>
  <c r="AA23" i="8"/>
  <c r="AB55" i="8"/>
  <c r="AB28" i="8"/>
  <c r="AB45" i="8"/>
  <c r="AA33" i="8"/>
  <c r="AA70" i="8"/>
  <c r="AA61" i="8"/>
  <c r="AA62" i="8"/>
  <c r="AB83" i="8"/>
  <c r="AA24" i="8"/>
  <c r="AA73" i="8"/>
  <c r="AB44" i="8"/>
  <c r="AB37" i="8"/>
  <c r="AB18" i="8"/>
  <c r="AA41" i="8"/>
  <c r="AB36" i="8"/>
  <c r="AA13" i="8"/>
  <c r="AA68" i="8"/>
  <c r="AB15" i="8"/>
  <c r="AB33" i="8"/>
  <c r="AB20" i="8"/>
  <c r="AA17" i="8"/>
  <c r="AB68" i="8"/>
  <c r="AA15" i="8"/>
  <c r="AB24" i="8"/>
  <c r="AB29" i="8"/>
  <c r="AA26" i="8"/>
  <c r="AA83" i="8"/>
  <c r="AA66" i="8"/>
  <c r="AA51" i="8"/>
  <c r="AB80" i="8"/>
  <c r="AB26" i="8"/>
  <c r="AB42" i="8"/>
  <c r="AA18" i="8"/>
  <c r="AB23" i="8"/>
  <c r="AA63" i="8"/>
  <c r="AA25" i="8"/>
  <c r="AB63" i="8"/>
  <c r="AA59" i="8"/>
  <c r="AA31" i="8"/>
  <c r="AB32" i="8"/>
  <c r="AB66" i="8"/>
  <c r="AA78" i="8"/>
  <c r="AA85" i="8"/>
  <c r="AB50" i="8"/>
  <c r="AB51" i="8"/>
  <c r="AB73" i="8"/>
  <c r="AB71" i="8"/>
  <c r="AB57" i="8"/>
  <c r="AA20" i="8"/>
  <c r="AB59" i="8"/>
  <c r="AB17" i="8"/>
  <c r="AB16" i="8"/>
  <c r="AB62" i="8"/>
  <c r="AB43" i="8"/>
  <c r="AA54" i="8"/>
  <c r="AB64" i="8"/>
  <c r="AB65" i="8"/>
  <c r="AB19" i="8"/>
  <c r="AB31" i="8"/>
  <c r="AA44" i="8"/>
  <c r="AB78" i="8"/>
  <c r="AA53" i="8"/>
  <c r="AB30" i="8"/>
  <c r="AA55" i="8"/>
  <c r="AB49" i="8"/>
  <c r="AB61" i="8"/>
  <c r="AB84" i="8"/>
  <c r="AB53" i="8"/>
  <c r="AA36" i="8"/>
  <c r="AA27" i="8"/>
  <c r="AB14" i="8"/>
  <c r="E89" i="6" l="1"/>
  <c r="E90" i="6" s="1"/>
  <c r="F8" i="4"/>
  <c r="F9" i="4" s="1"/>
  <c r="I20" i="13"/>
  <c r="AC51" i="8"/>
  <c r="AF51" i="8" s="1"/>
  <c r="M17" i="4"/>
  <c r="AC38" i="8"/>
  <c r="AF38" i="8" s="1"/>
  <c r="AC65" i="8"/>
  <c r="AF65" i="8" s="1"/>
  <c r="AC28" i="8"/>
  <c r="AF28" i="8" s="1"/>
  <c r="AC32" i="8"/>
  <c r="AF32" i="8" s="1"/>
  <c r="AC79" i="8"/>
  <c r="AF79" i="8" s="1"/>
  <c r="AC50" i="8"/>
  <c r="AF50" i="8" s="1"/>
  <c r="AC85" i="8"/>
  <c r="AF85" i="8" s="1"/>
  <c r="AC37" i="8"/>
  <c r="AF37" i="8" s="1"/>
  <c r="AC48" i="8"/>
  <c r="AF48" i="8" s="1"/>
  <c r="AA47" i="8"/>
  <c r="AA74" i="8" s="1"/>
  <c r="AA86" i="8"/>
  <c r="AB81" i="8"/>
  <c r="AC60" i="8"/>
  <c r="AF60" i="8" s="1"/>
  <c r="AA81" i="8"/>
  <c r="AC78" i="8"/>
  <c r="AF78" i="8" s="1"/>
  <c r="AC16" i="8"/>
  <c r="AF16" i="8" s="1"/>
  <c r="AC33" i="8"/>
  <c r="AF33" i="8" s="1"/>
  <c r="AC59" i="8"/>
  <c r="AF59" i="8" s="1"/>
  <c r="AC13" i="8"/>
  <c r="AF13" i="8" s="1"/>
  <c r="AC27" i="8"/>
  <c r="AF27" i="8" s="1"/>
  <c r="AC30" i="8"/>
  <c r="AF30" i="8" s="1"/>
  <c r="M16" i="4"/>
  <c r="M18" i="4" s="1"/>
  <c r="AC14" i="8"/>
  <c r="AF14" i="8" s="1"/>
  <c r="AC23" i="8"/>
  <c r="AF23" i="8" s="1"/>
  <c r="AC56" i="8"/>
  <c r="AF56" i="8" s="1"/>
  <c r="AC68" i="8"/>
  <c r="AF68" i="8" s="1"/>
  <c r="AC66" i="8"/>
  <c r="AF66" i="8" s="1"/>
  <c r="AC64" i="8"/>
  <c r="AF64" i="8" s="1"/>
  <c r="AC61" i="8"/>
  <c r="AF61" i="8" s="1"/>
  <c r="AC70" i="8"/>
  <c r="AF70" i="8" s="1"/>
  <c r="AC54" i="8"/>
  <c r="AF54" i="8" s="1"/>
  <c r="AC58" i="8"/>
  <c r="AF58" i="8" s="1"/>
  <c r="AA21" i="8"/>
  <c r="AA39" i="8" s="1"/>
  <c r="AC24" i="8"/>
  <c r="AF24" i="8" s="1"/>
  <c r="AC42" i="8"/>
  <c r="AF42" i="8" s="1"/>
  <c r="AC22" i="8"/>
  <c r="AF22" i="8" s="1"/>
  <c r="AC67" i="8"/>
  <c r="AF67" i="8" s="1"/>
  <c r="AC69" i="8"/>
  <c r="AF69" i="8" s="1"/>
  <c r="AC80" i="8"/>
  <c r="AF80" i="8" s="1"/>
  <c r="AC20" i="8"/>
  <c r="AF20" i="8" s="1"/>
  <c r="AC18" i="8"/>
  <c r="AF18" i="8" s="1"/>
  <c r="AC55" i="8"/>
  <c r="AF55" i="8" s="1"/>
  <c r="AC29" i="8"/>
  <c r="AF29" i="8" s="1"/>
  <c r="D11" i="13"/>
  <c r="F30" i="12"/>
  <c r="G33" i="12"/>
  <c r="G35" i="12" s="1"/>
  <c r="I35" i="12" s="1"/>
  <c r="J35" i="12" s="1"/>
  <c r="H11" i="13"/>
  <c r="G30" i="12"/>
  <c r="I30" i="12" s="1"/>
  <c r="G8" i="4"/>
  <c r="AN7" i="8"/>
  <c r="AO7" i="8" s="1"/>
  <c r="AP7" i="8" s="1"/>
  <c r="AY7" i="8"/>
  <c r="BK7" i="8" s="1"/>
  <c r="J7" i="1"/>
  <c r="AC63" i="8"/>
  <c r="AC25" i="8"/>
  <c r="AF25" i="8" s="1"/>
  <c r="AB21" i="8"/>
  <c r="AB39" i="8" s="1"/>
  <c r="AC44" i="8"/>
  <c r="AF44" i="8" s="1"/>
  <c r="AC36" i="8"/>
  <c r="AF36" i="8" s="1"/>
  <c r="AC73" i="8"/>
  <c r="AF73" i="8" s="1"/>
  <c r="AC52" i="8"/>
  <c r="AF52" i="8" s="1"/>
  <c r="AC45" i="8"/>
  <c r="AF45" i="8" s="1"/>
  <c r="AC41" i="8"/>
  <c r="AF41" i="8" s="1"/>
  <c r="AC46" i="8"/>
  <c r="AF46" i="8" s="1"/>
  <c r="AC62" i="8"/>
  <c r="AF62" i="8" s="1"/>
  <c r="AC31" i="8"/>
  <c r="AF31" i="8" s="1"/>
  <c r="AC71" i="8"/>
  <c r="AF71" i="8" s="1"/>
  <c r="AB86" i="8"/>
  <c r="AB88" i="8" s="1"/>
  <c r="AC83" i="8"/>
  <c r="AF83" i="8" s="1"/>
  <c r="AC26" i="8"/>
  <c r="AF26" i="8" s="1"/>
  <c r="AC84" i="8"/>
  <c r="AF84" i="8" s="1"/>
  <c r="AC57" i="8"/>
  <c r="AF57" i="8" s="1"/>
  <c r="AC35" i="8"/>
  <c r="AF35" i="8" s="1"/>
  <c r="AC49" i="8"/>
  <c r="AF49" i="8" s="1"/>
  <c r="AB47" i="8"/>
  <c r="AB74" i="8" s="1"/>
  <c r="AC43" i="8"/>
  <c r="AC17" i="8"/>
  <c r="AF17" i="8" s="1"/>
  <c r="AC53" i="8"/>
  <c r="AF53" i="8" s="1"/>
  <c r="AC19" i="8"/>
  <c r="AF19" i="8" s="1"/>
  <c r="AC34" i="8"/>
  <c r="AF34" i="8" s="1"/>
  <c r="CR8" i="8"/>
  <c r="CP8" i="8"/>
  <c r="CJ9" i="8"/>
  <c r="CK9" i="8" s="1"/>
  <c r="CR9" i="8"/>
  <c r="CU8" i="8"/>
  <c r="M19" i="4"/>
  <c r="J7" i="7"/>
  <c r="AC15" i="8"/>
  <c r="AF15" i="8" s="1"/>
  <c r="AF7" i="8"/>
  <c r="AH7" i="8" s="1"/>
  <c r="CU9" i="8"/>
  <c r="J7" i="6"/>
  <c r="O14" i="8"/>
  <c r="AD69" i="8"/>
  <c r="AD52" i="8"/>
  <c r="AD41" i="8"/>
  <c r="AD85" i="8"/>
  <c r="AD16" i="8"/>
  <c r="AD22" i="8"/>
  <c r="AD49" i="8"/>
  <c r="AD23" i="8"/>
  <c r="AD44" i="8"/>
  <c r="AD26" i="8"/>
  <c r="AD17" i="8"/>
  <c r="AD73" i="8"/>
  <c r="AD80" i="8"/>
  <c r="AD84" i="8"/>
  <c r="AD31" i="8"/>
  <c r="AD25" i="8"/>
  <c r="AD24" i="8"/>
  <c r="AD60" i="8"/>
  <c r="AD55" i="8"/>
  <c r="AD61" i="8"/>
  <c r="AD34" i="8"/>
  <c r="AD68" i="8"/>
  <c r="AD46" i="8"/>
  <c r="AD28" i="8"/>
  <c r="AD70" i="8"/>
  <c r="AD35" i="8"/>
  <c r="AD45" i="8"/>
  <c r="AD27" i="8"/>
  <c r="AD83" i="8"/>
  <c r="AD56" i="8"/>
  <c r="AD51" i="8"/>
  <c r="AD79" i="8"/>
  <c r="AD53" i="8"/>
  <c r="AD50" i="8"/>
  <c r="AD14" i="8"/>
  <c r="AD32" i="8"/>
  <c r="AD62" i="8"/>
  <c r="AD48" i="8"/>
  <c r="AD29" i="8"/>
  <c r="AD13" i="8"/>
  <c r="AD63" i="8"/>
  <c r="AD43" i="8"/>
  <c r="AD71" i="8"/>
  <c r="AD15" i="8"/>
  <c r="AD66" i="8"/>
  <c r="AD67" i="8"/>
  <c r="AD38" i="8"/>
  <c r="AD54" i="8"/>
  <c r="AD18" i="8"/>
  <c r="AD20" i="8"/>
  <c r="AD78" i="8"/>
  <c r="AD36" i="8"/>
  <c r="AD30" i="8"/>
  <c r="AD37" i="8"/>
  <c r="AD33" i="8"/>
  <c r="AD59" i="8"/>
  <c r="AD64" i="8"/>
  <c r="AD19" i="8"/>
  <c r="AD58" i="8"/>
  <c r="AD65" i="8"/>
  <c r="AD42" i="8"/>
  <c r="AD57" i="8"/>
  <c r="AH66" i="8" l="1"/>
  <c r="AH14" i="8"/>
  <c r="F17" i="4"/>
  <c r="AJ7" i="12"/>
  <c r="AD21" i="8"/>
  <c r="AD39" i="8" s="1"/>
  <c r="AD47" i="8"/>
  <c r="AD74" i="8" s="1"/>
  <c r="AD81" i="8"/>
  <c r="AD86" i="8"/>
  <c r="AA88" i="8"/>
  <c r="BT7" i="8"/>
  <c r="J11" i="13"/>
  <c r="AC81" i="8"/>
  <c r="AA76" i="8"/>
  <c r="AA90" i="8" s="1"/>
  <c r="AA91" i="8" s="1"/>
  <c r="I11" i="13"/>
  <c r="AK7" i="12"/>
  <c r="G17" i="4"/>
  <c r="AH70" i="8"/>
  <c r="AJ70" i="8" s="1"/>
  <c r="AH16" i="8"/>
  <c r="AJ16" i="8" s="1"/>
  <c r="AH64" i="8"/>
  <c r="AJ64" i="8" s="1"/>
  <c r="AH33" i="8"/>
  <c r="AJ33" i="8" s="1"/>
  <c r="AH54" i="8"/>
  <c r="AJ54" i="8" s="1"/>
  <c r="AH44" i="8"/>
  <c r="AH35" i="8"/>
  <c r="AJ35" i="8" s="1"/>
  <c r="AH19" i="8"/>
  <c r="AJ19" i="8" s="1"/>
  <c r="AH53" i="8"/>
  <c r="AJ53" i="8" s="1"/>
  <c r="AH73" i="8"/>
  <c r="AJ73" i="8" s="1"/>
  <c r="BH7" i="8"/>
  <c r="AZ7" i="8"/>
  <c r="BA7" i="8" s="1"/>
  <c r="BB7" i="8" s="1"/>
  <c r="K7" i="1"/>
  <c r="AC47" i="8"/>
  <c r="AF47" i="8" s="1"/>
  <c r="AF74" i="8" s="1"/>
  <c r="AB76" i="8"/>
  <c r="AB90" i="8" s="1"/>
  <c r="AB91" i="8" s="1"/>
  <c r="AC21" i="8"/>
  <c r="AF21" i="8" s="1"/>
  <c r="AF39" i="8" s="1"/>
  <c r="AC86" i="8"/>
  <c r="AJ14" i="8"/>
  <c r="O16" i="4" s="1"/>
  <c r="AH24" i="8"/>
  <c r="AJ24" i="8" s="1"/>
  <c r="AH25" i="8"/>
  <c r="AJ25" i="8" s="1"/>
  <c r="AH27" i="8"/>
  <c r="AJ27" i="8" s="1"/>
  <c r="AH57" i="8"/>
  <c r="AJ57" i="8" s="1"/>
  <c r="AH34" i="8"/>
  <c r="AJ34" i="8" s="1"/>
  <c r="AJ66" i="8"/>
  <c r="AH30" i="8"/>
  <c r="AJ30" i="8" s="1"/>
  <c r="AH84" i="8"/>
  <c r="AJ84" i="8" s="1"/>
  <c r="AJ60" i="8"/>
  <c r="AH36" i="8"/>
  <c r="AJ36" i="8" s="1"/>
  <c r="AH67" i="8"/>
  <c r="AJ67" i="8" s="1"/>
  <c r="AH38" i="8"/>
  <c r="AH45" i="8"/>
  <c r="AH18" i="8"/>
  <c r="AJ18" i="8" s="1"/>
  <c r="AH17" i="8"/>
  <c r="AJ17" i="8" s="1"/>
  <c r="AH80" i="8"/>
  <c r="AJ80" i="8" s="1"/>
  <c r="AH61" i="8"/>
  <c r="AJ61" i="8" s="1"/>
  <c r="AH52" i="8"/>
  <c r="AJ52" i="8" s="1"/>
  <c r="AH65" i="8"/>
  <c r="AJ65" i="8" s="1"/>
  <c r="AJ68" i="8"/>
  <c r="AH26" i="8"/>
  <c r="AJ26" i="8" s="1"/>
  <c r="AH31" i="8"/>
  <c r="AJ31" i="8" s="1"/>
  <c r="AH50" i="8"/>
  <c r="AJ50" i="8" s="1"/>
  <c r="AH85" i="8"/>
  <c r="AJ85" i="8" s="1"/>
  <c r="AH22" i="8"/>
  <c r="AJ22" i="8" s="1"/>
  <c r="DD8" i="8"/>
  <c r="DB8" i="8"/>
  <c r="DI8" i="8" s="1"/>
  <c r="CV9" i="8"/>
  <c r="CW9" i="8" s="1"/>
  <c r="DD9" i="8"/>
  <c r="AH49" i="8"/>
  <c r="AJ49" i="8" s="1"/>
  <c r="AH71" i="8"/>
  <c r="AJ71" i="8" s="1"/>
  <c r="AH20" i="8"/>
  <c r="AJ20" i="8" s="1"/>
  <c r="AH62" i="8"/>
  <c r="AJ62" i="8" s="1"/>
  <c r="AH29" i="8"/>
  <c r="AJ29" i="8" s="1"/>
  <c r="AH69" i="8"/>
  <c r="AJ69" i="8" s="1"/>
  <c r="AH59" i="8"/>
  <c r="AJ59" i="8" s="1"/>
  <c r="AH56" i="8"/>
  <c r="AJ56" i="8" s="1"/>
  <c r="AH51" i="8"/>
  <c r="AJ51" i="8" s="1"/>
  <c r="AH79" i="8"/>
  <c r="AJ79" i="8" s="1"/>
  <c r="AH32" i="8"/>
  <c r="AJ32" i="8" s="1"/>
  <c r="AH55" i="8"/>
  <c r="AJ55" i="8" s="1"/>
  <c r="AH37" i="8"/>
  <c r="AJ37" i="8" s="1"/>
  <c r="AH23" i="8"/>
  <c r="AJ23" i="8" s="1"/>
  <c r="AH46" i="8"/>
  <c r="AH58" i="8"/>
  <c r="AJ58" i="8" s="1"/>
  <c r="AH28" i="8"/>
  <c r="AJ28" i="8" s="1"/>
  <c r="AH15" i="8"/>
  <c r="AJ15" i="8" s="1"/>
  <c r="AH13" i="8"/>
  <c r="AJ13" i="8" s="1"/>
  <c r="AF86" i="8"/>
  <c r="AH83" i="8"/>
  <c r="AJ83" i="8" s="1"/>
  <c r="AF81" i="8"/>
  <c r="DG8" i="8"/>
  <c r="K7" i="7"/>
  <c r="DG9" i="8"/>
  <c r="BL7" i="8"/>
  <c r="BW7" i="8"/>
  <c r="CF7" i="8" s="1"/>
  <c r="AR7" i="8"/>
  <c r="AT7" i="8" s="1"/>
  <c r="K7" i="6"/>
  <c r="AY22" i="8"/>
  <c r="AC88" i="8" l="1"/>
  <c r="AD88" i="8"/>
  <c r="AJ44" i="8"/>
  <c r="AH74" i="8"/>
  <c r="AD76" i="8"/>
  <c r="AD90" i="8" s="1"/>
  <c r="AD91" i="8" s="1"/>
  <c r="G9" i="4"/>
  <c r="DK22" i="8"/>
  <c r="AF63" i="8"/>
  <c r="AH63" i="8" s="1"/>
  <c r="AC74" i="8"/>
  <c r="AJ86" i="8"/>
  <c r="AJ81" i="8"/>
  <c r="AJ21" i="8"/>
  <c r="N17" i="4"/>
  <c r="N16" i="4"/>
  <c r="P16" i="4" s="1"/>
  <c r="L7" i="1"/>
  <c r="AC39" i="8"/>
  <c r="AH21" i="8"/>
  <c r="AF88" i="8"/>
  <c r="AH81" i="8"/>
  <c r="AH86" i="8"/>
  <c r="L7" i="7"/>
  <c r="AF76" i="8"/>
  <c r="BD7" i="8"/>
  <c r="BF7" i="8" s="1"/>
  <c r="BX7" i="8"/>
  <c r="CI7" i="8"/>
  <c r="CR7" i="8" s="1"/>
  <c r="BM7" i="8"/>
  <c r="BN7" i="8" s="1"/>
  <c r="L7" i="6"/>
  <c r="BB22" i="8"/>
  <c r="BB54" i="8"/>
  <c r="BB31" i="8"/>
  <c r="BB34" i="8"/>
  <c r="BB53" i="8"/>
  <c r="BB55" i="8"/>
  <c r="BB65" i="8"/>
  <c r="BB60" i="8"/>
  <c r="BB30" i="8"/>
  <c r="BB32" i="8"/>
  <c r="BB23" i="8"/>
  <c r="BB64" i="8"/>
  <c r="BB25" i="8"/>
  <c r="BB24" i="8"/>
  <c r="BB52" i="8"/>
  <c r="BB35" i="8"/>
  <c r="BB50" i="8"/>
  <c r="BB49" i="8"/>
  <c r="BB66" i="8"/>
  <c r="BB61" i="8"/>
  <c r="BB26" i="8"/>
  <c r="BB36" i="8"/>
  <c r="BB48" i="8"/>
  <c r="BB27" i="8"/>
  <c r="BB29" i="8"/>
  <c r="BB28" i="8"/>
  <c r="BB63" i="8"/>
  <c r="BB57" i="8"/>
  <c r="BB62" i="8"/>
  <c r="BB33" i="8"/>
  <c r="BB37" i="8"/>
  <c r="AZ22" i="8"/>
  <c r="BB59" i="8"/>
  <c r="BB56" i="8"/>
  <c r="BB51" i="8"/>
  <c r="BB58" i="8"/>
  <c r="BB21" i="8" l="1"/>
  <c r="BB47" i="8"/>
  <c r="BA22" i="8"/>
  <c r="BD22" i="8" s="1"/>
  <c r="DL22" i="8" s="1"/>
  <c r="AC76" i="8"/>
  <c r="AC90" i="8" s="1"/>
  <c r="AC91" i="8" s="1"/>
  <c r="AJ88" i="8"/>
  <c r="N18" i="4"/>
  <c r="N19" i="4"/>
  <c r="AH39" i="8"/>
  <c r="AF90" i="8"/>
  <c r="AF91" i="8" s="1"/>
  <c r="AH88" i="8"/>
  <c r="CJ7" i="8"/>
  <c r="CU7" i="8"/>
  <c r="DD7" i="8" s="1"/>
  <c r="BP7" i="8"/>
  <c r="BR7" i="8" s="1"/>
  <c r="BY7" i="8"/>
  <c r="BZ7" i="8" s="1"/>
  <c r="BF22" i="8" l="1"/>
  <c r="BH22" i="8" s="1"/>
  <c r="AH76" i="8"/>
  <c r="AH90" i="8" s="1"/>
  <c r="AH91" i="8" s="1"/>
  <c r="CB7" i="8"/>
  <c r="CD7" i="8" s="1"/>
  <c r="CK7" i="8"/>
  <c r="CL7" i="8" s="1"/>
  <c r="CV7" i="8"/>
  <c r="DG7" i="8"/>
  <c r="DK7" i="8" s="1"/>
  <c r="DM22" i="8" l="1"/>
  <c r="CN7" i="8"/>
  <c r="CP7" i="8" s="1"/>
  <c r="CW7" i="8"/>
  <c r="CX7" i="8" s="1"/>
  <c r="CZ7" i="8" l="1"/>
  <c r="DB7" i="8" s="1"/>
  <c r="A80" i="3"/>
  <c r="A74" i="3"/>
  <c r="A62" i="3"/>
  <c r="A48" i="3"/>
  <c r="A35" i="3"/>
  <c r="A28" i="3"/>
  <c r="A21" i="3"/>
  <c r="A108" i="3"/>
  <c r="A87" i="3"/>
  <c r="A2" i="3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2" i="3"/>
  <c r="A23" i="3"/>
  <c r="A24" i="3"/>
  <c r="A25" i="3"/>
  <c r="A26" i="3"/>
  <c r="A27" i="3"/>
  <c r="A29" i="3"/>
  <c r="A30" i="3"/>
  <c r="A31" i="3"/>
  <c r="A32" i="3"/>
  <c r="A33" i="3"/>
  <c r="A34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3" i="3"/>
  <c r="A64" i="3"/>
  <c r="A65" i="3"/>
  <c r="A66" i="3"/>
  <c r="A67" i="3"/>
  <c r="A68" i="3"/>
  <c r="A69" i="3"/>
  <c r="A70" i="3"/>
  <c r="A71" i="3"/>
  <c r="A72" i="3"/>
  <c r="A73" i="3"/>
  <c r="A75" i="3"/>
  <c r="A76" i="3"/>
  <c r="A77" i="3"/>
  <c r="A78" i="3"/>
  <c r="A79" i="3"/>
  <c r="A81" i="3"/>
  <c r="A82" i="3"/>
  <c r="A83" i="3"/>
  <c r="A84" i="3"/>
  <c r="A85" i="3"/>
  <c r="A86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9" i="3"/>
  <c r="A110" i="3"/>
  <c r="A111" i="3"/>
  <c r="CU5" i="8" l="1"/>
  <c r="BK5" i="8"/>
  <c r="H5" i="7"/>
  <c r="C5" i="6"/>
  <c r="CI5" i="8"/>
  <c r="G5" i="7"/>
  <c r="H5" i="6"/>
  <c r="BW5" i="8"/>
  <c r="I5" i="7"/>
  <c r="D5" i="6"/>
  <c r="K5" i="7"/>
  <c r="I5" i="6"/>
  <c r="J5" i="7"/>
  <c r="F5" i="6"/>
  <c r="J5" i="6"/>
  <c r="D5" i="7"/>
  <c r="F5" i="7"/>
  <c r="AY5" i="8"/>
  <c r="O5" i="8"/>
  <c r="G5" i="6"/>
  <c r="K5" i="6"/>
  <c r="AM5" i="8"/>
  <c r="DH7" i="8"/>
  <c r="DL7" i="8" s="1"/>
  <c r="DI7" i="8"/>
  <c r="DM7" i="8" s="1"/>
  <c r="B1" i="1"/>
  <c r="BK19" i="8"/>
  <c r="AN5" i="8" l="1"/>
  <c r="D5" i="8"/>
  <c r="CJ5" i="8"/>
  <c r="P5" i="8"/>
  <c r="AZ5" i="8"/>
  <c r="BL5" i="8"/>
  <c r="BX5" i="8"/>
  <c r="CV5" i="8"/>
  <c r="C5" i="1"/>
  <c r="K5" i="1"/>
  <c r="J5" i="1"/>
  <c r="D5" i="1"/>
  <c r="I5" i="1"/>
  <c r="H5" i="1"/>
  <c r="F5" i="1"/>
  <c r="G5" i="1"/>
  <c r="BL19" i="8"/>
  <c r="BM19" i="8" l="1"/>
  <c r="BP19" i="8" s="1"/>
  <c r="BY5" i="8"/>
  <c r="BZ5" i="8" s="1"/>
  <c r="BM5" i="8"/>
  <c r="BN5" i="8" s="1"/>
  <c r="BA5" i="8"/>
  <c r="BB5" i="8" s="1"/>
  <c r="Q5" i="8"/>
  <c r="R5" i="8" s="1"/>
  <c r="CK5" i="8"/>
  <c r="CL5" i="8" s="1"/>
  <c r="E5" i="8"/>
  <c r="F5" i="8" s="1"/>
  <c r="AO5" i="8"/>
  <c r="AP5" i="8" s="1"/>
  <c r="CW5" i="8"/>
  <c r="CX5" i="8" s="1"/>
  <c r="BN15" i="8"/>
  <c r="R14" i="8"/>
  <c r="H5" i="8" l="1"/>
  <c r="J5" i="8" s="1"/>
  <c r="L5" i="8" s="1"/>
  <c r="AR5" i="8"/>
  <c r="AT5" i="8" s="1"/>
  <c r="AV5" i="8" s="1"/>
  <c r="T5" i="8"/>
  <c r="V5" i="8" s="1"/>
  <c r="X5" i="8" s="1"/>
  <c r="CN5" i="8"/>
  <c r="CP5" i="8" s="1"/>
  <c r="CR5" i="8" s="1"/>
  <c r="CB5" i="8"/>
  <c r="CD5" i="8" s="1"/>
  <c r="CF5" i="8" s="1"/>
  <c r="BP5" i="8"/>
  <c r="BR5" i="8" s="1"/>
  <c r="BT5" i="8" s="1"/>
  <c r="BD5" i="8"/>
  <c r="BF5" i="8" s="1"/>
  <c r="BH5" i="8" s="1"/>
  <c r="CZ5" i="8"/>
  <c r="DB5" i="8" s="1"/>
  <c r="DD5" i="8" s="1"/>
  <c r="BB80" i="8"/>
  <c r="BZ28" i="8"/>
  <c r="R59" i="8"/>
  <c r="R13" i="8"/>
  <c r="BZ52" i="8"/>
  <c r="R19" i="8"/>
  <c r="R32" i="8"/>
  <c r="BZ27" i="8"/>
  <c r="BZ25" i="8"/>
  <c r="R79" i="8"/>
  <c r="BN42" i="8"/>
  <c r="F78" i="8"/>
  <c r="R30" i="8"/>
  <c r="BN49" i="8"/>
  <c r="F53" i="8"/>
  <c r="R41" i="8"/>
  <c r="BN17" i="8"/>
  <c r="BZ83" i="8"/>
  <c r="BZ57" i="8"/>
  <c r="R55" i="8"/>
  <c r="F19" i="8"/>
  <c r="BZ65" i="8"/>
  <c r="R66" i="8"/>
  <c r="F65" i="8"/>
  <c r="BZ33" i="8"/>
  <c r="BN24" i="8"/>
  <c r="F35" i="8"/>
  <c r="BB45" i="8"/>
  <c r="BN34" i="8"/>
  <c r="F41" i="8"/>
  <c r="R52" i="8"/>
  <c r="BN29" i="8"/>
  <c r="F84" i="8"/>
  <c r="R31" i="8"/>
  <c r="F67" i="8"/>
  <c r="F49" i="8"/>
  <c r="BB13" i="8"/>
  <c r="BZ73" i="8"/>
  <c r="R36" i="8"/>
  <c r="BZ63" i="8"/>
  <c r="R17" i="8"/>
  <c r="BZ69" i="8"/>
  <c r="BB38" i="8"/>
  <c r="BZ54" i="8"/>
  <c r="R44" i="8"/>
  <c r="BB79" i="8"/>
  <c r="BZ71" i="8"/>
  <c r="R73" i="8"/>
  <c r="BB14" i="8"/>
  <c r="BZ41" i="8"/>
  <c r="F13" i="8"/>
  <c r="F15" i="8"/>
  <c r="BN52" i="8"/>
  <c r="F59" i="8"/>
  <c r="BN68" i="8"/>
  <c r="BN66" i="8"/>
  <c r="F68" i="8"/>
  <c r="BB46" i="8"/>
  <c r="BN48" i="8"/>
  <c r="R84" i="8"/>
  <c r="BZ30" i="8"/>
  <c r="R49" i="8"/>
  <c r="F27" i="8"/>
  <c r="BZ23" i="8"/>
  <c r="R50" i="8"/>
  <c r="F71" i="8"/>
  <c r="BZ22" i="8"/>
  <c r="BN28" i="8"/>
  <c r="F61" i="8"/>
  <c r="BN50" i="8"/>
  <c r="BN38" i="8"/>
  <c r="F66" i="8"/>
  <c r="BN30" i="8"/>
  <c r="BN33" i="8"/>
  <c r="R33" i="8"/>
  <c r="F56" i="8"/>
  <c r="BZ32" i="8"/>
  <c r="BB41" i="8"/>
  <c r="BZ55" i="8"/>
  <c r="R46" i="8"/>
  <c r="BN13" i="8"/>
  <c r="F69" i="8"/>
  <c r="R48" i="8"/>
  <c r="BN53" i="8"/>
  <c r="F34" i="8"/>
  <c r="R20" i="8"/>
  <c r="BB71" i="8"/>
  <c r="F50" i="8"/>
  <c r="R16" i="8"/>
  <c r="R43" i="8"/>
  <c r="BN78" i="8"/>
  <c r="F36" i="8"/>
  <c r="BN58" i="8"/>
  <c r="BN25" i="8"/>
  <c r="F70" i="8"/>
  <c r="BN35" i="8"/>
  <c r="BZ26" i="8"/>
  <c r="BB67" i="8"/>
  <c r="BZ34" i="8"/>
  <c r="R35" i="8"/>
  <c r="BB16" i="8"/>
  <c r="BZ49" i="8"/>
  <c r="R65" i="8"/>
  <c r="BB85" i="8"/>
  <c r="BZ42" i="8"/>
  <c r="BN73" i="8"/>
  <c r="F51" i="8"/>
  <c r="BN83" i="8"/>
  <c r="BN61" i="8"/>
  <c r="F17" i="8"/>
  <c r="BN45" i="8"/>
  <c r="BN16" i="8"/>
  <c r="F62" i="8"/>
  <c r="BN36" i="8"/>
  <c r="BN19" i="8"/>
  <c r="F20" i="8"/>
  <c r="BN65" i="8"/>
  <c r="F14" i="8"/>
  <c r="BN85" i="8"/>
  <c r="F37" i="8"/>
  <c r="BB78" i="8"/>
  <c r="BN31" i="8"/>
  <c r="F44" i="8"/>
  <c r="BB17" i="8"/>
  <c r="BN80" i="8"/>
  <c r="F38" i="8"/>
  <c r="R34" i="8"/>
  <c r="F46" i="8"/>
  <c r="BN84" i="8"/>
  <c r="F58" i="8"/>
  <c r="BZ35" i="8"/>
  <c r="BN46" i="8"/>
  <c r="F54" i="8"/>
  <c r="BZ31" i="8"/>
  <c r="BZ46" i="8"/>
  <c r="BB18" i="8"/>
  <c r="F42" i="8"/>
  <c r="R83" i="8"/>
  <c r="BB83" i="8"/>
  <c r="BZ48" i="8"/>
  <c r="R56" i="8"/>
  <c r="BB44" i="8"/>
  <c r="BZ20" i="8"/>
  <c r="BZ19" i="8"/>
  <c r="R58" i="8"/>
  <c r="BZ50" i="8"/>
  <c r="BZ85" i="8"/>
  <c r="R69" i="8"/>
  <c r="BZ84" i="8"/>
  <c r="BN59" i="8"/>
  <c r="R27" i="8"/>
  <c r="BZ16" i="8"/>
  <c r="F32" i="8"/>
  <c r="BB68" i="8"/>
  <c r="BN51" i="8"/>
  <c r="BN70" i="8"/>
  <c r="R78" i="8"/>
  <c r="F25" i="8"/>
  <c r="R25" i="8"/>
  <c r="F30" i="8"/>
  <c r="BZ43" i="8"/>
  <c r="BN37" i="8"/>
  <c r="BN14" i="8"/>
  <c r="BB70" i="8"/>
  <c r="BN63" i="8"/>
  <c r="F29" i="8"/>
  <c r="BN64" i="8"/>
  <c r="BN55" i="8"/>
  <c r="F33" i="8"/>
  <c r="BN56" i="8"/>
  <c r="BN21" i="8"/>
  <c r="F31" i="8"/>
  <c r="R63" i="8"/>
  <c r="BN44" i="8"/>
  <c r="BZ24" i="8"/>
  <c r="R57" i="8"/>
  <c r="F80" i="8"/>
  <c r="BZ68" i="8"/>
  <c r="R62" i="8"/>
  <c r="BZ67" i="8"/>
  <c r="F22" i="8"/>
  <c r="BN22" i="8"/>
  <c r="F79" i="8"/>
  <c r="R67" i="8"/>
  <c r="BN26" i="8"/>
  <c r="F85" i="8"/>
  <c r="R42" i="8"/>
  <c r="BN41" i="8"/>
  <c r="F16" i="8"/>
  <c r="BZ53" i="8"/>
  <c r="R29" i="8"/>
  <c r="F57" i="8"/>
  <c r="BZ37" i="8"/>
  <c r="R45" i="8"/>
  <c r="BZ66" i="8"/>
  <c r="F55" i="8"/>
  <c r="BN57" i="8"/>
  <c r="BN69" i="8"/>
  <c r="R18" i="8"/>
  <c r="BZ62" i="8"/>
  <c r="BZ78" i="8"/>
  <c r="BB73" i="8"/>
  <c r="R38" i="8"/>
  <c r="F48" i="8"/>
  <c r="R70" i="8"/>
  <c r="BN32" i="8"/>
  <c r="F43" i="8"/>
  <c r="BZ59" i="8"/>
  <c r="BN60" i="8"/>
  <c r="F63" i="8"/>
  <c r="BZ13" i="8"/>
  <c r="BN43" i="8"/>
  <c r="F28" i="8"/>
  <c r="BN20" i="8"/>
  <c r="R71" i="8"/>
  <c r="BZ58" i="8"/>
  <c r="R60" i="8"/>
  <c r="F64" i="8"/>
  <c r="BZ15" i="8"/>
  <c r="R53" i="8"/>
  <c r="F18" i="8"/>
  <c r="BN23" i="8"/>
  <c r="BN79" i="8"/>
  <c r="F26" i="8"/>
  <c r="F24" i="8"/>
  <c r="BZ44" i="8"/>
  <c r="F52" i="8"/>
  <c r="R23" i="8"/>
  <c r="R61" i="8"/>
  <c r="BZ36" i="8"/>
  <c r="R26" i="8"/>
  <c r="BZ38" i="8"/>
  <c r="BZ61" i="8"/>
  <c r="R22" i="8"/>
  <c r="BZ18" i="8"/>
  <c r="BZ45" i="8"/>
  <c r="R37" i="8"/>
  <c r="BZ60" i="8"/>
  <c r="BB20" i="8"/>
  <c r="BZ14" i="8"/>
  <c r="R85" i="8"/>
  <c r="BB42" i="8"/>
  <c r="BZ80" i="8"/>
  <c r="R28" i="8"/>
  <c r="R24" i="8"/>
  <c r="R80" i="8"/>
  <c r="BN71" i="8"/>
  <c r="F23" i="8"/>
  <c r="BN27" i="8"/>
  <c r="BN67" i="8"/>
  <c r="F83" i="8"/>
  <c r="BN18" i="8"/>
  <c r="BN54" i="8"/>
  <c r="BB19" i="8"/>
  <c r="BZ79" i="8"/>
  <c r="R64" i="8"/>
  <c r="BB84" i="8"/>
  <c r="BZ56" i="8"/>
  <c r="R15" i="8"/>
  <c r="BB43" i="8"/>
  <c r="BZ64" i="8"/>
  <c r="F60" i="8"/>
  <c r="BZ29" i="8"/>
  <c r="BZ51" i="8"/>
  <c r="R54" i="8"/>
  <c r="F45" i="8"/>
  <c r="BZ17" i="8"/>
  <c r="R68" i="8"/>
  <c r="F73" i="8"/>
  <c r="BZ70" i="8"/>
  <c r="BB15" i="8"/>
  <c r="R51" i="8"/>
  <c r="BN62" i="8"/>
  <c r="BB69" i="8"/>
  <c r="R81" i="8" l="1"/>
  <c r="BZ86" i="8"/>
  <c r="BR19" i="8"/>
  <c r="BB39" i="8"/>
  <c r="F21" i="8"/>
  <c r="F39" i="8" s="1"/>
  <c r="BZ81" i="8"/>
  <c r="BZ88" i="8" s="1"/>
  <c r="BZ21" i="8"/>
  <c r="BZ39" i="8" s="1"/>
  <c r="BN47" i="8"/>
  <c r="BN74" i="8" s="1"/>
  <c r="BB74" i="8"/>
  <c r="R21" i="8"/>
  <c r="R39" i="8" s="1"/>
  <c r="F86" i="8"/>
  <c r="BZ47" i="8"/>
  <c r="BZ74" i="8" s="1"/>
  <c r="BB86" i="8"/>
  <c r="BN86" i="8"/>
  <c r="BB81" i="8"/>
  <c r="R47" i="8"/>
  <c r="R74" i="8" s="1"/>
  <c r="R86" i="8"/>
  <c r="F81" i="8"/>
  <c r="F47" i="8"/>
  <c r="F74" i="8" s="1"/>
  <c r="BN81" i="8"/>
  <c r="BN88" i="8" s="1"/>
  <c r="BN39" i="8"/>
  <c r="W18" i="4"/>
  <c r="AJ38" i="8" s="1"/>
  <c r="W16" i="4"/>
  <c r="AP83" i="8"/>
  <c r="AP79" i="8"/>
  <c r="AP80" i="8"/>
  <c r="AP84" i="8"/>
  <c r="AP78" i="8"/>
  <c r="AP85" i="8"/>
  <c r="F88" i="8" l="1"/>
  <c r="BB88" i="8"/>
  <c r="R76" i="8"/>
  <c r="BN76" i="8"/>
  <c r="BN90" i="8" s="1"/>
  <c r="BN91" i="8" s="1"/>
  <c r="F76" i="8"/>
  <c r="BB76" i="8"/>
  <c r="BZ76" i="8"/>
  <c r="BZ90" i="8" s="1"/>
  <c r="BZ91" i="8" s="1"/>
  <c r="R88" i="8"/>
  <c r="AJ39" i="8"/>
  <c r="AJ63" i="8" s="1"/>
  <c r="O17" i="4"/>
  <c r="BB90" i="8" l="1"/>
  <c r="BB91" i="8" s="1"/>
  <c r="F90" i="8"/>
  <c r="F91" i="8" s="1"/>
  <c r="O18" i="4"/>
  <c r="P18" i="4" s="1"/>
  <c r="P17" i="4"/>
  <c r="R90" i="8"/>
  <c r="R91" i="8" s="1"/>
  <c r="O19" i="4"/>
  <c r="AJ74" i="8"/>
  <c r="AJ76" i="8" s="1"/>
  <c r="AJ90" i="8" s="1"/>
  <c r="AJ91" i="8" s="1"/>
  <c r="P10" i="12" l="1"/>
  <c r="BT19" i="8" l="1"/>
  <c r="Q10" i="12"/>
  <c r="G70" i="1"/>
  <c r="I30" i="6"/>
  <c r="I38" i="6"/>
  <c r="C14" i="6"/>
  <c r="I50" i="6"/>
  <c r="C48" i="6"/>
  <c r="H83" i="6"/>
  <c r="C59" i="1"/>
  <c r="F44" i="1"/>
  <c r="D37" i="6"/>
  <c r="C15" i="6"/>
  <c r="C60" i="1"/>
  <c r="I68" i="1"/>
  <c r="H27" i="6"/>
  <c r="I16" i="1"/>
  <c r="I26" i="6"/>
  <c r="G22" i="1"/>
  <c r="F57" i="6"/>
  <c r="D34" i="6"/>
  <c r="H18" i="6"/>
  <c r="H56" i="6"/>
  <c r="D65" i="1"/>
  <c r="D41" i="6"/>
  <c r="G20" i="1"/>
  <c r="C66" i="1"/>
  <c r="G59" i="1"/>
  <c r="H65" i="1"/>
  <c r="I19" i="6"/>
  <c r="F23" i="6"/>
  <c r="F59" i="1"/>
  <c r="C65" i="1"/>
  <c r="I54" i="6"/>
  <c r="F66" i="6"/>
  <c r="I77" i="6"/>
  <c r="I79" i="6"/>
  <c r="H38" i="1"/>
  <c r="F77" i="6"/>
  <c r="C25" i="1"/>
  <c r="I53" i="6"/>
  <c r="F22" i="6"/>
  <c r="C69" i="6"/>
  <c r="F16" i="6"/>
  <c r="I33" i="6"/>
  <c r="I66" i="6"/>
  <c r="F33" i="6"/>
  <c r="F27" i="1"/>
  <c r="H63" i="6"/>
  <c r="F77" i="1"/>
  <c r="D45" i="6"/>
  <c r="D36" i="1"/>
  <c r="H22" i="1"/>
  <c r="H36" i="6"/>
  <c r="I43" i="1"/>
  <c r="D17" i="1"/>
  <c r="G56" i="1"/>
  <c r="C50" i="1"/>
  <c r="F60" i="1"/>
  <c r="F51" i="1"/>
  <c r="I49" i="1"/>
  <c r="H17" i="1"/>
  <c r="I37" i="1"/>
  <c r="C17" i="6"/>
  <c r="I20" i="1"/>
  <c r="D62" i="1"/>
  <c r="I16" i="6"/>
  <c r="H26" i="6"/>
  <c r="H20" i="1"/>
  <c r="G19" i="1"/>
  <c r="H64" i="6"/>
  <c r="G24" i="1"/>
  <c r="H66" i="1"/>
  <c r="F48" i="1"/>
  <c r="H50" i="7"/>
  <c r="D78" i="7"/>
  <c r="D66" i="7"/>
  <c r="G41" i="7"/>
  <c r="F82" i="7"/>
  <c r="C27" i="7"/>
  <c r="F54" i="7"/>
  <c r="C71" i="1"/>
  <c r="D69" i="1"/>
  <c r="G25" i="1"/>
  <c r="I71" i="1"/>
  <c r="I56" i="1"/>
  <c r="D22" i="1"/>
  <c r="C48" i="1"/>
  <c r="I62" i="6"/>
  <c r="D38" i="6"/>
  <c r="G19" i="7"/>
  <c r="H44" i="7"/>
  <c r="D26" i="7"/>
  <c r="H72" i="7"/>
  <c r="C17" i="7"/>
  <c r="C54" i="1"/>
  <c r="D26" i="1"/>
  <c r="H79" i="1"/>
  <c r="I78" i="1"/>
  <c r="D64" i="1"/>
  <c r="H51" i="1"/>
  <c r="H49" i="7"/>
  <c r="G66" i="7"/>
  <c r="F46" i="7"/>
  <c r="H31" i="7"/>
  <c r="H28" i="7"/>
  <c r="I54" i="7"/>
  <c r="C55" i="7"/>
  <c r="C46" i="7"/>
  <c r="G14" i="7"/>
  <c r="I44" i="7"/>
  <c r="G83" i="1"/>
  <c r="C70" i="7"/>
  <c r="D14" i="7"/>
  <c r="I78" i="7"/>
  <c r="D27" i="7"/>
  <c r="G25" i="7"/>
  <c r="F24" i="7"/>
  <c r="I52" i="7"/>
  <c r="I37" i="7"/>
  <c r="G82" i="7"/>
  <c r="D53" i="7"/>
  <c r="I79" i="7"/>
  <c r="D55" i="1"/>
  <c r="G57" i="1"/>
  <c r="F18" i="1"/>
  <c r="F18" i="6"/>
  <c r="H54" i="6"/>
  <c r="C49" i="6"/>
  <c r="F84" i="6"/>
  <c r="C36" i="6"/>
  <c r="F56" i="1"/>
  <c r="G35" i="6"/>
  <c r="I46" i="1"/>
  <c r="G50" i="1"/>
  <c r="I79" i="1"/>
  <c r="F58" i="1"/>
  <c r="G63" i="6"/>
  <c r="I31" i="1"/>
  <c r="D25" i="1"/>
  <c r="C63" i="1"/>
  <c r="H48" i="6"/>
  <c r="F43" i="6"/>
  <c r="C46" i="6"/>
  <c r="I34" i="6"/>
  <c r="C53" i="1"/>
  <c r="I69" i="6"/>
  <c r="F65" i="1"/>
  <c r="I52" i="6"/>
  <c r="D13" i="1"/>
  <c r="H28" i="6"/>
  <c r="H43" i="6"/>
  <c r="C14" i="1"/>
  <c r="F25" i="1"/>
  <c r="I56" i="6"/>
  <c r="D61" i="1"/>
  <c r="G49" i="6"/>
  <c r="C45" i="1"/>
  <c r="H65" i="6"/>
  <c r="G82" i="6"/>
  <c r="I60" i="6"/>
  <c r="D68" i="1"/>
  <c r="D24" i="6"/>
  <c r="H29" i="6"/>
  <c r="G58" i="6"/>
  <c r="D46" i="6"/>
  <c r="D71" i="1"/>
  <c r="I59" i="6"/>
  <c r="D67" i="6"/>
  <c r="F27" i="6"/>
  <c r="I20" i="6"/>
  <c r="I27" i="1"/>
  <c r="F20" i="1"/>
  <c r="F29" i="6"/>
  <c r="F61" i="1"/>
  <c r="G69" i="1"/>
  <c r="D84" i="6"/>
  <c r="D70" i="1"/>
  <c r="G16" i="1"/>
  <c r="D83" i="6"/>
  <c r="C77" i="1"/>
  <c r="H14" i="1"/>
  <c r="G77" i="1"/>
  <c r="I66" i="1"/>
  <c r="F62" i="6"/>
  <c r="F43" i="1"/>
  <c r="F14" i="6"/>
  <c r="D20" i="6"/>
  <c r="I32" i="6"/>
  <c r="H84" i="1"/>
  <c r="F36" i="1"/>
  <c r="H60" i="1"/>
  <c r="I69" i="1"/>
  <c r="D54" i="1"/>
  <c r="C49" i="1"/>
  <c r="F22" i="1"/>
  <c r="C78" i="7"/>
  <c r="D71" i="7"/>
  <c r="I43" i="7"/>
  <c r="H46" i="7"/>
  <c r="C49" i="7"/>
  <c r="I84" i="7"/>
  <c r="C52" i="7"/>
  <c r="C42" i="6"/>
  <c r="G34" i="6"/>
  <c r="G51" i="1"/>
  <c r="C72" i="6"/>
  <c r="C28" i="1"/>
  <c r="G30" i="1"/>
  <c r="G42" i="1"/>
  <c r="C50" i="6"/>
  <c r="F62" i="1"/>
  <c r="F31" i="7"/>
  <c r="H58" i="7"/>
  <c r="F71" i="7"/>
  <c r="I35" i="7"/>
  <c r="G43" i="7"/>
  <c r="I18" i="6"/>
  <c r="F53" i="1"/>
  <c r="I30" i="1"/>
  <c r="I22" i="6"/>
  <c r="H72" i="6"/>
  <c r="I24" i="1"/>
  <c r="H30" i="7"/>
  <c r="D84" i="7"/>
  <c r="G72" i="7"/>
  <c r="G20" i="7"/>
  <c r="D19" i="7"/>
  <c r="H70" i="7"/>
  <c r="F79" i="7"/>
  <c r="G83" i="7"/>
  <c r="D51" i="7"/>
  <c r="H78" i="7"/>
  <c r="D66" i="6"/>
  <c r="G26" i="7"/>
  <c r="G59" i="7"/>
  <c r="F61" i="7"/>
  <c r="C31" i="7"/>
  <c r="C61" i="7"/>
  <c r="D44" i="7"/>
  <c r="H38" i="7"/>
  <c r="I61" i="7"/>
  <c r="G60" i="7"/>
  <c r="F45" i="1"/>
  <c r="F24" i="6"/>
  <c r="I42" i="1"/>
  <c r="F55" i="1"/>
  <c r="F26" i="1"/>
  <c r="G48" i="6"/>
  <c r="F58" i="6"/>
  <c r="F46" i="6"/>
  <c r="G23" i="1"/>
  <c r="C52" i="1"/>
  <c r="F70" i="1"/>
  <c r="G25" i="6"/>
  <c r="D30" i="1"/>
  <c r="C16" i="6"/>
  <c r="D19" i="1"/>
  <c r="H36" i="1"/>
  <c r="G44" i="1"/>
  <c r="I37" i="6"/>
  <c r="D35" i="6"/>
  <c r="F71" i="1"/>
  <c r="D60" i="6"/>
  <c r="H26" i="1"/>
  <c r="I17" i="6"/>
  <c r="F17" i="6"/>
  <c r="D67" i="1"/>
  <c r="C44" i="6"/>
  <c r="C55" i="1"/>
  <c r="F68" i="1"/>
  <c r="D13" i="6"/>
  <c r="G14" i="1"/>
  <c r="I58" i="1"/>
  <c r="G45" i="6"/>
  <c r="D41" i="1"/>
  <c r="I13" i="1"/>
  <c r="F38" i="6"/>
  <c r="I64" i="6"/>
  <c r="G59" i="6"/>
  <c r="C23" i="6"/>
  <c r="G14" i="6"/>
  <c r="I58" i="6"/>
  <c r="F79" i="6"/>
  <c r="H67" i="6"/>
  <c r="H42" i="6"/>
  <c r="F38" i="1"/>
  <c r="G61" i="1"/>
  <c r="G69" i="6"/>
  <c r="D17" i="6"/>
  <c r="F50" i="6"/>
  <c r="H59" i="1"/>
  <c r="H17" i="6"/>
  <c r="I63" i="6"/>
  <c r="C37" i="1"/>
  <c r="F61" i="6"/>
  <c r="H59" i="6"/>
  <c r="C79" i="1"/>
  <c r="I57" i="1"/>
  <c r="D52" i="6"/>
  <c r="G48" i="1"/>
  <c r="I51" i="1"/>
  <c r="I36" i="1"/>
  <c r="G43" i="6"/>
  <c r="G30" i="6"/>
  <c r="D33" i="1"/>
  <c r="I70" i="1"/>
  <c r="C25" i="6"/>
  <c r="F46" i="1"/>
  <c r="D51" i="6"/>
  <c r="C84" i="1"/>
  <c r="D33" i="6"/>
  <c r="F50" i="1"/>
  <c r="D53" i="1"/>
  <c r="D19" i="6"/>
  <c r="G31" i="1"/>
  <c r="H35" i="7"/>
  <c r="F32" i="7"/>
  <c r="F51" i="7"/>
  <c r="F35" i="7"/>
  <c r="C43" i="7"/>
  <c r="C44" i="7"/>
  <c r="C28" i="7"/>
  <c r="F53" i="6"/>
  <c r="I55" i="1"/>
  <c r="C64" i="6"/>
  <c r="H35" i="6"/>
  <c r="F64" i="1"/>
  <c r="F31" i="1"/>
  <c r="C72" i="1"/>
  <c r="D48" i="1"/>
  <c r="H64" i="1"/>
  <c r="I67" i="7"/>
  <c r="D34" i="7"/>
  <c r="C65" i="7"/>
  <c r="F38" i="7"/>
  <c r="G51" i="7"/>
  <c r="F83" i="6"/>
  <c r="I14" i="1"/>
  <c r="I59" i="1"/>
  <c r="G79" i="1"/>
  <c r="D58" i="1"/>
  <c r="H54" i="1"/>
  <c r="G16" i="7"/>
  <c r="C26" i="7"/>
  <c r="H59" i="7"/>
  <c r="D60" i="7"/>
  <c r="D45" i="7"/>
  <c r="C37" i="7"/>
  <c r="C15" i="7"/>
  <c r="G67" i="7"/>
  <c r="D65" i="7"/>
  <c r="C24" i="1"/>
  <c r="H25" i="1"/>
  <c r="D77" i="7"/>
  <c r="G78" i="7"/>
  <c r="C36" i="7"/>
  <c r="D69" i="7"/>
  <c r="F66" i="7"/>
  <c r="D36" i="7"/>
  <c r="D32" i="7"/>
  <c r="C53" i="7"/>
  <c r="D82" i="7"/>
  <c r="G28" i="7"/>
  <c r="I42" i="7"/>
  <c r="C33" i="6"/>
  <c r="G67" i="6"/>
  <c r="F54" i="6"/>
  <c r="G13" i="6"/>
  <c r="G60" i="1"/>
  <c r="G32" i="6"/>
  <c r="C71" i="6"/>
  <c r="G49" i="1"/>
  <c r="D78" i="1"/>
  <c r="G84" i="6"/>
  <c r="G52" i="1"/>
  <c r="C62" i="1"/>
  <c r="D72" i="1"/>
  <c r="D46" i="1"/>
  <c r="I67" i="1"/>
  <c r="G65" i="1"/>
  <c r="H58" i="6"/>
  <c r="C31" i="6"/>
  <c r="C19" i="6"/>
  <c r="C51" i="6"/>
  <c r="C52" i="6"/>
  <c r="H61" i="6"/>
  <c r="D49" i="1"/>
  <c r="D82" i="1"/>
  <c r="D43" i="6"/>
  <c r="D25" i="6"/>
  <c r="D16" i="6"/>
  <c r="G44" i="6"/>
  <c r="H22" i="6"/>
  <c r="C82" i="6"/>
  <c r="H20" i="6"/>
  <c r="G57" i="6"/>
  <c r="C65" i="6"/>
  <c r="C20" i="1"/>
  <c r="H37" i="6"/>
  <c r="D45" i="1"/>
  <c r="D65" i="6"/>
  <c r="D16" i="1"/>
  <c r="F32" i="6"/>
  <c r="C13" i="1"/>
  <c r="F42" i="1"/>
  <c r="H69" i="6"/>
  <c r="F67" i="1"/>
  <c r="I42" i="6"/>
  <c r="I68" i="6"/>
  <c r="H55" i="6"/>
  <c r="I28" i="6"/>
  <c r="F48" i="6"/>
  <c r="D53" i="6"/>
  <c r="D14" i="1"/>
  <c r="H33" i="6"/>
  <c r="C57" i="1"/>
  <c r="I29" i="6"/>
  <c r="C77" i="6"/>
  <c r="C16" i="1"/>
  <c r="G54" i="1"/>
  <c r="H84" i="6"/>
  <c r="F41" i="1"/>
  <c r="D44" i="1"/>
  <c r="H18" i="1"/>
  <c r="D29" i="6"/>
  <c r="I38" i="1"/>
  <c r="C43" i="1"/>
  <c r="C32" i="1"/>
  <c r="C45" i="6"/>
  <c r="I17" i="1"/>
  <c r="C20" i="6"/>
  <c r="D36" i="6"/>
  <c r="C41" i="6"/>
  <c r="G31" i="6"/>
  <c r="H19" i="1"/>
  <c r="D70" i="6"/>
  <c r="D23" i="6"/>
  <c r="C79" i="7"/>
  <c r="C72" i="7"/>
  <c r="C16" i="7"/>
  <c r="F41" i="7"/>
  <c r="F25" i="7"/>
  <c r="D52" i="7"/>
  <c r="F13" i="7"/>
  <c r="G55" i="1"/>
  <c r="C56" i="1"/>
  <c r="G68" i="1"/>
  <c r="F29" i="1"/>
  <c r="I83" i="6"/>
  <c r="G38" i="1"/>
  <c r="C79" i="6"/>
  <c r="D71" i="6"/>
  <c r="C44" i="1"/>
  <c r="D42" i="7"/>
  <c r="F72" i="7"/>
  <c r="I14" i="7"/>
  <c r="C50" i="7"/>
  <c r="I13" i="7"/>
  <c r="H82" i="6"/>
  <c r="I28" i="1"/>
  <c r="G78" i="1"/>
  <c r="C83" i="1"/>
  <c r="H58" i="1"/>
  <c r="F45" i="7"/>
  <c r="G84" i="7"/>
  <c r="D83" i="7"/>
  <c r="I23" i="7"/>
  <c r="D64" i="7"/>
  <c r="G13" i="7"/>
  <c r="C56" i="7"/>
  <c r="I45" i="7"/>
  <c r="G27" i="7"/>
  <c r="G52" i="7"/>
  <c r="H23" i="1"/>
  <c r="D79" i="1"/>
  <c r="I60" i="7"/>
  <c r="H63" i="7"/>
  <c r="C33" i="7"/>
  <c r="F50" i="7"/>
  <c r="G49" i="7"/>
  <c r="I62" i="7"/>
  <c r="D57" i="7"/>
  <c r="G22" i="7"/>
  <c r="F29" i="7"/>
  <c r="D31" i="6"/>
  <c r="G20" i="6"/>
  <c r="I70" i="6"/>
  <c r="G83" i="6"/>
  <c r="I55" i="6"/>
  <c r="G29" i="6"/>
  <c r="I44" i="6"/>
  <c r="F33" i="1"/>
  <c r="I36" i="6"/>
  <c r="C15" i="1"/>
  <c r="C37" i="6"/>
  <c r="I13" i="6"/>
  <c r="H34" i="6"/>
  <c r="C26" i="6"/>
  <c r="F63" i="6"/>
  <c r="G13" i="1"/>
  <c r="G42" i="6"/>
  <c r="G36" i="6"/>
  <c r="H44" i="6"/>
  <c r="D78" i="6"/>
  <c r="F28" i="1"/>
  <c r="F19" i="1"/>
  <c r="D27" i="1"/>
  <c r="F42" i="6"/>
  <c r="I34" i="1"/>
  <c r="I24" i="6"/>
  <c r="H79" i="6"/>
  <c r="C38" i="6"/>
  <c r="D64" i="6"/>
  <c r="H13" i="6"/>
  <c r="I43" i="6"/>
  <c r="G72" i="6"/>
  <c r="G68" i="6"/>
  <c r="I72" i="6"/>
  <c r="F26" i="6"/>
  <c r="F51" i="6"/>
  <c r="G19" i="6"/>
  <c r="D20" i="1"/>
  <c r="C58" i="1"/>
  <c r="I35" i="6"/>
  <c r="I61" i="6"/>
  <c r="C57" i="6"/>
  <c r="G65" i="6"/>
  <c r="G28" i="6"/>
  <c r="D82" i="6"/>
  <c r="C56" i="6"/>
  <c r="I78" i="6"/>
  <c r="F67" i="6"/>
  <c r="D18" i="6"/>
  <c r="F28" i="6"/>
  <c r="I31" i="6"/>
  <c r="G27" i="6"/>
  <c r="C68" i="6"/>
  <c r="G63" i="1"/>
  <c r="D48" i="6"/>
  <c r="D30" i="6"/>
  <c r="D56" i="1"/>
  <c r="I53" i="1"/>
  <c r="G43" i="1"/>
  <c r="D35" i="1"/>
  <c r="I41" i="6"/>
  <c r="I64" i="1"/>
  <c r="I84" i="1"/>
  <c r="C23" i="1"/>
  <c r="C35" i="6"/>
  <c r="H52" i="1"/>
  <c r="H66" i="6"/>
  <c r="H44" i="1"/>
  <c r="C67" i="1"/>
  <c r="C17" i="1"/>
  <c r="H49" i="1"/>
  <c r="H72" i="1"/>
  <c r="C58" i="6"/>
  <c r="H32" i="6"/>
  <c r="F30" i="6"/>
  <c r="C33" i="1"/>
  <c r="C67" i="6"/>
  <c r="H38" i="6"/>
  <c r="F59" i="6"/>
  <c r="F72" i="6"/>
  <c r="D54" i="6"/>
  <c r="C36" i="1"/>
  <c r="C22" i="6"/>
  <c r="F45" i="6"/>
  <c r="D29" i="1"/>
  <c r="C83" i="6"/>
  <c r="H29" i="1"/>
  <c r="F37" i="6"/>
  <c r="D50" i="6"/>
  <c r="G71" i="6"/>
  <c r="G37" i="6"/>
  <c r="C27" i="6"/>
  <c r="H30" i="6"/>
  <c r="F44" i="6"/>
  <c r="F41" i="6"/>
  <c r="F68" i="6"/>
  <c r="D37" i="1"/>
  <c r="G36" i="1"/>
  <c r="I62" i="1"/>
  <c r="C28" i="6"/>
  <c r="G17" i="6"/>
  <c r="H52" i="6"/>
  <c r="D44" i="6"/>
  <c r="C54" i="6"/>
  <c r="I71" i="6"/>
  <c r="H71" i="6"/>
  <c r="I49" i="6"/>
  <c r="C82" i="1"/>
  <c r="H46" i="1"/>
  <c r="I51" i="6"/>
  <c r="H60" i="6"/>
  <c r="C70" i="6"/>
  <c r="H16" i="6"/>
  <c r="C43" i="6"/>
  <c r="F36" i="6"/>
  <c r="I57" i="6"/>
  <c r="G26" i="6"/>
  <c r="I27" i="6"/>
  <c r="H68" i="6"/>
  <c r="D22" i="6"/>
  <c r="G29" i="1"/>
  <c r="I65" i="6"/>
  <c r="H70" i="6"/>
  <c r="G62" i="1"/>
  <c r="F25" i="6"/>
  <c r="H67" i="1"/>
  <c r="F23" i="1"/>
  <c r="D23" i="1"/>
  <c r="F69" i="6"/>
  <c r="G67" i="1"/>
  <c r="D31" i="1"/>
  <c r="I77" i="1"/>
  <c r="H83" i="1"/>
  <c r="I72" i="1"/>
  <c r="H77" i="6"/>
  <c r="C27" i="1"/>
  <c r="G64" i="6"/>
  <c r="F24" i="1"/>
  <c r="I48" i="1"/>
  <c r="I18" i="1"/>
  <c r="F16" i="1"/>
  <c r="G34" i="1"/>
  <c r="I83" i="1"/>
  <c r="C69" i="1"/>
  <c r="G84" i="1"/>
  <c r="H34" i="7"/>
  <c r="D70" i="7"/>
  <c r="H24" i="7"/>
  <c r="H69" i="7"/>
  <c r="G33" i="7"/>
  <c r="H14" i="7"/>
  <c r="H22" i="7"/>
  <c r="G45" i="1"/>
  <c r="F32" i="1"/>
  <c r="H50" i="1"/>
  <c r="H61" i="1"/>
  <c r="G82" i="1"/>
  <c r="D59" i="6"/>
  <c r="C68" i="1"/>
  <c r="H41" i="1"/>
  <c r="G31" i="7"/>
  <c r="D35" i="7"/>
  <c r="F65" i="7"/>
  <c r="H37" i="7"/>
  <c r="G42" i="7"/>
  <c r="I63" i="7"/>
  <c r="F69" i="1"/>
  <c r="I61" i="1"/>
  <c r="F71" i="6"/>
  <c r="F13" i="1"/>
  <c r="H30" i="1"/>
  <c r="D30" i="7"/>
  <c r="D13" i="7"/>
  <c r="H71" i="7"/>
  <c r="C38" i="7"/>
  <c r="H45" i="7"/>
  <c r="G17" i="7"/>
  <c r="H32" i="7"/>
  <c r="D43" i="7"/>
  <c r="I48" i="7"/>
  <c r="C62" i="7"/>
  <c r="F34" i="6"/>
  <c r="D28" i="1"/>
  <c r="C84" i="7"/>
  <c r="D55" i="7"/>
  <c r="C42" i="7"/>
  <c r="D31" i="7"/>
  <c r="I56" i="7"/>
  <c r="G34" i="7"/>
  <c r="H33" i="7"/>
  <c r="H18" i="7"/>
  <c r="F67" i="7"/>
  <c r="H13" i="7"/>
  <c r="F60" i="7"/>
  <c r="D28" i="7"/>
  <c r="G32" i="1"/>
  <c r="I45" i="1"/>
  <c r="H41" i="7"/>
  <c r="I38" i="7"/>
  <c r="G24" i="6"/>
  <c r="G52" i="6"/>
  <c r="G53" i="1"/>
  <c r="F52" i="6"/>
  <c r="C78" i="6"/>
  <c r="G16" i="6"/>
  <c r="I41" i="1"/>
  <c r="H53" i="1"/>
  <c r="C78" i="1"/>
  <c r="C26" i="1"/>
  <c r="H45" i="6"/>
  <c r="F56" i="6"/>
  <c r="F70" i="6"/>
  <c r="H78" i="6"/>
  <c r="C22" i="1"/>
  <c r="G60" i="6"/>
  <c r="I14" i="6"/>
  <c r="H46" i="6"/>
  <c r="C66" i="6"/>
  <c r="F78" i="6"/>
  <c r="F64" i="6"/>
  <c r="G50" i="6"/>
  <c r="C59" i="6"/>
  <c r="F19" i="6"/>
  <c r="F54" i="1"/>
  <c r="G56" i="6"/>
  <c r="G62" i="6"/>
  <c r="G35" i="1"/>
  <c r="H31" i="6"/>
  <c r="C63" i="6"/>
  <c r="D79" i="6"/>
  <c r="H24" i="6"/>
  <c r="H14" i="6"/>
  <c r="H45" i="1"/>
  <c r="H57" i="6"/>
  <c r="G17" i="1"/>
  <c r="C70" i="1"/>
  <c r="G66" i="1"/>
  <c r="F82" i="1"/>
  <c r="F49" i="6"/>
  <c r="I82" i="6"/>
  <c r="H49" i="6"/>
  <c r="C30" i="6"/>
  <c r="D26" i="6"/>
  <c r="C38" i="1"/>
  <c r="G22" i="6"/>
  <c r="F31" i="6"/>
  <c r="F52" i="1"/>
  <c r="G72" i="1"/>
  <c r="F65" i="6"/>
  <c r="D51" i="1"/>
  <c r="H24" i="1"/>
  <c r="G53" i="6"/>
  <c r="C32" i="6"/>
  <c r="H37" i="1"/>
  <c r="D61" i="6"/>
  <c r="C46" i="1"/>
  <c r="H68" i="1"/>
  <c r="D83" i="1"/>
  <c r="G23" i="6"/>
  <c r="D32" i="6"/>
  <c r="H62" i="6"/>
  <c r="H57" i="1"/>
  <c r="H55" i="1"/>
  <c r="H25" i="6"/>
  <c r="H42" i="1"/>
  <c r="H77" i="1"/>
  <c r="H62" i="1"/>
  <c r="C31" i="1"/>
  <c r="D49" i="6"/>
  <c r="C55" i="6"/>
  <c r="D77" i="1"/>
  <c r="F72" i="1"/>
  <c r="H61" i="7"/>
  <c r="F68" i="7"/>
  <c r="G69" i="7"/>
  <c r="C22" i="7"/>
  <c r="H56" i="7"/>
  <c r="D20" i="7"/>
  <c r="I48" i="6"/>
  <c r="F14" i="1"/>
  <c r="D57" i="6"/>
  <c r="I19" i="1"/>
  <c r="G61" i="6"/>
  <c r="H50" i="6"/>
  <c r="F20" i="6"/>
  <c r="C35" i="1"/>
  <c r="D42" i="6"/>
  <c r="G29" i="7"/>
  <c r="G44" i="7"/>
  <c r="C35" i="7"/>
  <c r="I24" i="7"/>
  <c r="I19" i="7"/>
  <c r="H70" i="1"/>
  <c r="G78" i="6"/>
  <c r="C34" i="1"/>
  <c r="I25" i="6"/>
  <c r="I23" i="1"/>
  <c r="H63" i="1"/>
  <c r="C67" i="7"/>
  <c r="H43" i="7"/>
  <c r="C64" i="7"/>
  <c r="H17" i="7"/>
  <c r="I33" i="7"/>
  <c r="C68" i="7"/>
  <c r="G55" i="7"/>
  <c r="G77" i="7"/>
  <c r="C60" i="7"/>
  <c r="F27" i="7"/>
  <c r="F66" i="1"/>
  <c r="G63" i="7"/>
  <c r="C71" i="7"/>
  <c r="D58" i="6"/>
  <c r="H23" i="6"/>
  <c r="F78" i="1"/>
  <c r="C61" i="6"/>
  <c r="F35" i="6"/>
  <c r="G77" i="6"/>
  <c r="G38" i="6"/>
  <c r="G71" i="1"/>
  <c r="H19" i="6"/>
  <c r="D52" i="1"/>
  <c r="H64" i="7"/>
  <c r="C61" i="1"/>
  <c r="G37" i="1"/>
  <c r="C30" i="1"/>
  <c r="C69" i="7"/>
  <c r="F34" i="1"/>
  <c r="I64" i="7"/>
  <c r="I49" i="7"/>
  <c r="C25" i="7"/>
  <c r="D17" i="7"/>
  <c r="G50" i="7"/>
  <c r="F14" i="7"/>
  <c r="I34" i="7"/>
  <c r="H16" i="7"/>
  <c r="D46" i="7"/>
  <c r="I63" i="1"/>
  <c r="H65" i="7"/>
  <c r="H79" i="7"/>
  <c r="C19" i="1"/>
  <c r="F22" i="7"/>
  <c r="D29" i="7"/>
  <c r="F18" i="7"/>
  <c r="G54" i="7"/>
  <c r="H67" i="7"/>
  <c r="I59" i="7"/>
  <c r="F20" i="7"/>
  <c r="C51" i="7"/>
  <c r="G58" i="7"/>
  <c r="I70" i="7"/>
  <c r="F34" i="7"/>
  <c r="G56" i="7"/>
  <c r="F28" i="7"/>
  <c r="F48" i="7"/>
  <c r="F16" i="7"/>
  <c r="G32" i="7"/>
  <c r="H55" i="7"/>
  <c r="G70" i="7"/>
  <c r="I23" i="6"/>
  <c r="C51" i="1"/>
  <c r="I44" i="1"/>
  <c r="D68" i="6"/>
  <c r="D56" i="6"/>
  <c r="D55" i="6"/>
  <c r="D77" i="6"/>
  <c r="H43" i="1"/>
  <c r="G26" i="1"/>
  <c r="D22" i="7"/>
  <c r="F62" i="7"/>
  <c r="D18" i="1"/>
  <c r="I25" i="1"/>
  <c r="I55" i="7"/>
  <c r="F77" i="7"/>
  <c r="D66" i="1"/>
  <c r="G23" i="7"/>
  <c r="I28" i="7"/>
  <c r="C77" i="7"/>
  <c r="D67" i="7"/>
  <c r="I18" i="7"/>
  <c r="I31" i="7"/>
  <c r="I82" i="7"/>
  <c r="F36" i="7"/>
  <c r="I65" i="7"/>
  <c r="H27" i="1"/>
  <c r="F19" i="7"/>
  <c r="D23" i="7"/>
  <c r="G58" i="1"/>
  <c r="I26" i="7"/>
  <c r="H57" i="7"/>
  <c r="D68" i="7"/>
  <c r="H48" i="7"/>
  <c r="G24" i="7"/>
  <c r="I32" i="7"/>
  <c r="H29" i="7"/>
  <c r="H66" i="7"/>
  <c r="D59" i="7"/>
  <c r="C62" i="6"/>
  <c r="I53" i="7"/>
  <c r="D61" i="7"/>
  <c r="F78" i="7"/>
  <c r="G51" i="6"/>
  <c r="I67" i="6"/>
  <c r="I65" i="1"/>
  <c r="C29" i="6"/>
  <c r="G55" i="6"/>
  <c r="H53" i="6"/>
  <c r="I35" i="1"/>
  <c r="G46" i="1"/>
  <c r="F57" i="1"/>
  <c r="F56" i="7"/>
  <c r="I66" i="7"/>
  <c r="G28" i="1"/>
  <c r="C84" i="6"/>
  <c r="F37" i="7"/>
  <c r="F57" i="7"/>
  <c r="G27" i="1"/>
  <c r="F69" i="7"/>
  <c r="H25" i="7"/>
  <c r="D63" i="1"/>
  <c r="H27" i="7"/>
  <c r="H77" i="7"/>
  <c r="C45" i="7"/>
  <c r="G35" i="7"/>
  <c r="D16" i="7"/>
  <c r="G30" i="7"/>
  <c r="D84" i="1"/>
  <c r="C41" i="7"/>
  <c r="G61" i="7"/>
  <c r="I22" i="1"/>
  <c r="I57" i="7"/>
  <c r="D25" i="7"/>
  <c r="D18" i="7"/>
  <c r="F44" i="7"/>
  <c r="F70" i="7"/>
  <c r="H84" i="7"/>
  <c r="H20" i="7"/>
  <c r="D50" i="7"/>
  <c r="I36" i="7"/>
  <c r="H78" i="1"/>
  <c r="C30" i="7"/>
  <c r="D24" i="7"/>
  <c r="G53" i="7"/>
  <c r="F13" i="6"/>
  <c r="C64" i="1"/>
  <c r="F55" i="6"/>
  <c r="D42" i="1"/>
  <c r="F79" i="1"/>
  <c r="D69" i="6"/>
  <c r="F83" i="1"/>
  <c r="H34" i="1"/>
  <c r="H33" i="1"/>
  <c r="C48" i="7"/>
  <c r="F84" i="7"/>
  <c r="C41" i="1"/>
  <c r="I52" i="1"/>
  <c r="H62" i="7"/>
  <c r="G33" i="6"/>
  <c r="D60" i="1"/>
  <c r="F55" i="7"/>
  <c r="C59" i="7"/>
  <c r="D62" i="6"/>
  <c r="H60" i="7"/>
  <c r="I69" i="7"/>
  <c r="H36" i="7"/>
  <c r="D37" i="7"/>
  <c r="F23" i="7"/>
  <c r="G46" i="7"/>
  <c r="I32" i="1"/>
  <c r="C34" i="7"/>
  <c r="D38" i="1"/>
  <c r="F63" i="1"/>
  <c r="I46" i="7"/>
  <c r="H42" i="7"/>
  <c r="D48" i="7"/>
  <c r="F42" i="7"/>
  <c r="C29" i="7"/>
  <c r="I83" i="7"/>
  <c r="G48" i="7"/>
  <c r="F52" i="7"/>
  <c r="D56" i="7"/>
  <c r="H19" i="7"/>
  <c r="I27" i="7"/>
  <c r="G64" i="7"/>
  <c r="G18" i="1"/>
  <c r="F83" i="7"/>
  <c r="G33" i="1"/>
  <c r="C63" i="7"/>
  <c r="F43" i="7"/>
  <c r="I17" i="7"/>
  <c r="F58" i="7"/>
  <c r="C13" i="7"/>
  <c r="F17" i="7"/>
  <c r="C82" i="7"/>
  <c r="G70" i="6"/>
  <c r="I46" i="6"/>
  <c r="H51" i="6"/>
  <c r="D43" i="1"/>
  <c r="I84" i="6"/>
  <c r="D28" i="6"/>
  <c r="H32" i="1"/>
  <c r="I82" i="1"/>
  <c r="H28" i="1"/>
  <c r="C20" i="7"/>
  <c r="I50" i="7"/>
  <c r="D59" i="1"/>
  <c r="C42" i="1"/>
  <c r="D49" i="7"/>
  <c r="G18" i="6"/>
  <c r="I29" i="1"/>
  <c r="G18" i="7"/>
  <c r="D41" i="7"/>
  <c r="F35" i="1"/>
  <c r="H26" i="7"/>
  <c r="D62" i="7"/>
  <c r="D32" i="1"/>
  <c r="H16" i="1"/>
  <c r="D79" i="7"/>
  <c r="H71" i="1"/>
  <c r="C29" i="1"/>
  <c r="G46" i="6"/>
  <c r="F60" i="6"/>
  <c r="C60" i="6"/>
  <c r="C13" i="6"/>
  <c r="I54" i="1"/>
  <c r="F30" i="1"/>
  <c r="G64" i="1"/>
  <c r="H69" i="1"/>
  <c r="I26" i="1"/>
  <c r="H83" i="7"/>
  <c r="C32" i="7"/>
  <c r="H56" i="1"/>
  <c r="H35" i="1"/>
  <c r="C66" i="7"/>
  <c r="F37" i="1"/>
  <c r="I33" i="1"/>
  <c r="F53" i="7"/>
  <c r="D38" i="7"/>
  <c r="C58" i="7"/>
  <c r="C54" i="7"/>
  <c r="I68" i="7"/>
  <c r="F49" i="7"/>
  <c r="C24" i="7"/>
  <c r="H52" i="7"/>
  <c r="I50" i="1"/>
  <c r="F30" i="7"/>
  <c r="I77" i="7"/>
  <c r="D34" i="1"/>
  <c r="H48" i="1"/>
  <c r="G79" i="7"/>
  <c r="I16" i="7"/>
  <c r="G57" i="7"/>
  <c r="H51" i="7"/>
  <c r="I72" i="7"/>
  <c r="C83" i="7"/>
  <c r="H54" i="7"/>
  <c r="D63" i="7"/>
  <c r="C57" i="7"/>
  <c r="F49" i="1"/>
  <c r="D57" i="1"/>
  <c r="D27" i="6"/>
  <c r="H68" i="7"/>
  <c r="C23" i="7"/>
  <c r="G71" i="7"/>
  <c r="I41" i="7"/>
  <c r="C34" i="6"/>
  <c r="G66" i="6"/>
  <c r="D63" i="6"/>
  <c r="C24" i="6"/>
  <c r="G79" i="6"/>
  <c r="F82" i="6"/>
  <c r="G54" i="6"/>
  <c r="D50" i="1"/>
  <c r="G41" i="1"/>
  <c r="I29" i="7"/>
  <c r="F33" i="7"/>
  <c r="H13" i="1"/>
  <c r="I60" i="1"/>
  <c r="I25" i="7"/>
  <c r="F84" i="1"/>
  <c r="F59" i="7"/>
  <c r="G38" i="7"/>
  <c r="H23" i="7"/>
  <c r="F63" i="7"/>
  <c r="I58" i="7"/>
  <c r="C19" i="7"/>
  <c r="D33" i="7"/>
  <c r="F64" i="7"/>
  <c r="D58" i="7"/>
  <c r="H31" i="1"/>
  <c r="I30" i="7"/>
  <c r="G45" i="7"/>
  <c r="G41" i="6"/>
  <c r="I51" i="7"/>
  <c r="G65" i="7"/>
  <c r="G62" i="7"/>
  <c r="D72" i="7"/>
  <c r="G68" i="7"/>
  <c r="G37" i="7"/>
  <c r="I22" i="7"/>
  <c r="H53" i="7"/>
  <c r="D54" i="7"/>
  <c r="H82" i="7"/>
  <c r="D14" i="6"/>
  <c r="I45" i="6"/>
  <c r="C53" i="6"/>
  <c r="D72" i="6"/>
  <c r="D24" i="1"/>
  <c r="H41" i="6"/>
  <c r="F17" i="1"/>
  <c r="I71" i="7"/>
  <c r="F26" i="7"/>
  <c r="G36" i="7"/>
  <c r="H82" i="1"/>
  <c r="C14" i="7"/>
  <c r="I20" i="7"/>
  <c r="C65" i="8"/>
  <c r="AZ51" i="8"/>
  <c r="O54" i="8"/>
  <c r="AZ17" i="8"/>
  <c r="BW62" i="8"/>
  <c r="P44" i="8"/>
  <c r="BL52" i="8"/>
  <c r="BW60" i="8"/>
  <c r="BK44" i="8"/>
  <c r="AY61" i="8"/>
  <c r="BW31" i="8"/>
  <c r="BK32" i="8"/>
  <c r="O37" i="8"/>
  <c r="C15" i="8"/>
  <c r="C13" i="8"/>
  <c r="BL83" i="8"/>
  <c r="O22" i="8"/>
  <c r="BX27" i="8"/>
  <c r="P38" i="8"/>
  <c r="D31" i="8"/>
  <c r="D36" i="8"/>
  <c r="BL23" i="8"/>
  <c r="P19" i="8"/>
  <c r="AZ28" i="8"/>
  <c r="BW68" i="8"/>
  <c r="BK51" i="8"/>
  <c r="BL26" i="8"/>
  <c r="BW61" i="8"/>
  <c r="AZ41" i="8"/>
  <c r="BW22" i="8"/>
  <c r="P65" i="8"/>
  <c r="BX85" i="8"/>
  <c r="BW69" i="8"/>
  <c r="AZ62" i="8"/>
  <c r="AZ23" i="8"/>
  <c r="BL32" i="8"/>
  <c r="BK50" i="8"/>
  <c r="AZ30" i="8"/>
  <c r="C58" i="8"/>
  <c r="AY26" i="8"/>
  <c r="BX25" i="8"/>
  <c r="BW30" i="8"/>
  <c r="BX63" i="8"/>
  <c r="C55" i="8"/>
  <c r="O51" i="8"/>
  <c r="AY27" i="8"/>
  <c r="AZ78" i="8"/>
  <c r="C67" i="8"/>
  <c r="BK70" i="8"/>
  <c r="BW78" i="8"/>
  <c r="BX51" i="8"/>
  <c r="BK29" i="8"/>
  <c r="BW28" i="8"/>
  <c r="AY71" i="8"/>
  <c r="AZ49" i="8"/>
  <c r="P43" i="8"/>
  <c r="O58" i="8"/>
  <c r="AZ67" i="8"/>
  <c r="BW83" i="8"/>
  <c r="BL20" i="8"/>
  <c r="BX45" i="8"/>
  <c r="O50" i="8"/>
  <c r="AZ27" i="8"/>
  <c r="BK22" i="8"/>
  <c r="C62" i="8"/>
  <c r="AY42" i="8"/>
  <c r="D19" i="8"/>
  <c r="O84" i="8"/>
  <c r="P59" i="8"/>
  <c r="AY31" i="8"/>
  <c r="BX34" i="8"/>
  <c r="AY37" i="8"/>
  <c r="AZ25" i="8"/>
  <c r="BK26" i="8"/>
  <c r="BL65" i="8"/>
  <c r="O80" i="8"/>
  <c r="BW58" i="8"/>
  <c r="BL50" i="8"/>
  <c r="O65" i="8"/>
  <c r="BL49" i="8"/>
  <c r="D80" i="8"/>
  <c r="AZ32" i="8"/>
  <c r="BK31" i="8"/>
  <c r="BW27" i="8"/>
  <c r="C31" i="8"/>
  <c r="D16" i="8"/>
  <c r="AY68" i="8"/>
  <c r="D37" i="8"/>
  <c r="O57" i="8"/>
  <c r="AY24" i="8"/>
  <c r="D27" i="8"/>
  <c r="P20" i="8"/>
  <c r="AZ36" i="8"/>
  <c r="BL28" i="8"/>
  <c r="O18" i="8"/>
  <c r="O53" i="8"/>
  <c r="BX44" i="8"/>
  <c r="P24" i="8"/>
  <c r="D49" i="8"/>
  <c r="AZ50" i="8"/>
  <c r="BK73" i="8"/>
  <c r="O29" i="8"/>
  <c r="AY33" i="8"/>
  <c r="BW63" i="8"/>
  <c r="D79" i="8"/>
  <c r="BK15" i="8"/>
  <c r="O66" i="8"/>
  <c r="AY53" i="8"/>
  <c r="D38" i="8"/>
  <c r="C63" i="8"/>
  <c r="BK42" i="8"/>
  <c r="BK61" i="8"/>
  <c r="P28" i="8"/>
  <c r="P80" i="8"/>
  <c r="BL37" i="8"/>
  <c r="P17" i="8"/>
  <c r="BX50" i="8"/>
  <c r="BL61" i="8"/>
  <c r="D61" i="8"/>
  <c r="C34" i="8"/>
  <c r="BK53" i="8"/>
  <c r="BX64" i="8"/>
  <c r="AZ61" i="8"/>
  <c r="AY56" i="8"/>
  <c r="O36" i="8"/>
  <c r="AY16" i="8"/>
  <c r="BX46" i="8"/>
  <c r="O85" i="8"/>
  <c r="AY19" i="8"/>
  <c r="BX54" i="8"/>
  <c r="D70" i="8"/>
  <c r="C83" i="8"/>
  <c r="BX67" i="8"/>
  <c r="BK62" i="8"/>
  <c r="AZ66" i="8"/>
  <c r="D26" i="8"/>
  <c r="O45" i="8"/>
  <c r="P37" i="8"/>
  <c r="D67" i="8"/>
  <c r="D48" i="8"/>
  <c r="D71" i="8"/>
  <c r="BX16" i="8"/>
  <c r="BK57" i="8"/>
  <c r="D66" i="8"/>
  <c r="AZ60" i="8"/>
  <c r="O83" i="8"/>
  <c r="C84" i="8"/>
  <c r="C28" i="8"/>
  <c r="BX36" i="8"/>
  <c r="P52" i="8"/>
  <c r="BW70" i="8"/>
  <c r="BK85" i="8"/>
  <c r="C29" i="8"/>
  <c r="AY41" i="8"/>
  <c r="BL62" i="8"/>
  <c r="O16" i="8"/>
  <c r="AY50" i="8"/>
  <c r="D46" i="8"/>
  <c r="BX57" i="8"/>
  <c r="C20" i="8"/>
  <c r="AZ65" i="8"/>
  <c r="BW19" i="8"/>
  <c r="BK58" i="8"/>
  <c r="C71" i="8"/>
  <c r="C23" i="8"/>
  <c r="AZ71" i="8"/>
  <c r="BK37" i="8"/>
  <c r="BL35" i="8"/>
  <c r="BK23" i="8"/>
  <c r="AY62" i="8"/>
  <c r="D29" i="8"/>
  <c r="AY85" i="8"/>
  <c r="BX65" i="8"/>
  <c r="BK43" i="8"/>
  <c r="P33" i="8"/>
  <c r="D44" i="8"/>
  <c r="BL60" i="8"/>
  <c r="BK65" i="8"/>
  <c r="AY32" i="8"/>
  <c r="BX68" i="8"/>
  <c r="BW85" i="8"/>
  <c r="AZ63" i="8"/>
  <c r="BK25" i="8"/>
  <c r="BL43" i="8"/>
  <c r="C56" i="8"/>
  <c r="BK71" i="8"/>
  <c r="D56" i="8"/>
  <c r="BK28" i="8"/>
  <c r="BK16" i="8"/>
  <c r="AZ14" i="8"/>
  <c r="AZ42" i="8"/>
  <c r="P26" i="8"/>
  <c r="AY64" i="8"/>
  <c r="BX22" i="8"/>
  <c r="AY44" i="8"/>
  <c r="BK20" i="8"/>
  <c r="C78" i="8"/>
  <c r="D18" i="8"/>
  <c r="P15" i="8"/>
  <c r="P67" i="8"/>
  <c r="BL18" i="8"/>
  <c r="BK52" i="8"/>
  <c r="C50" i="8"/>
  <c r="BX33" i="8"/>
  <c r="D64" i="8"/>
  <c r="BW23" i="8"/>
  <c r="D60" i="8"/>
  <c r="P57" i="8"/>
  <c r="BL13" i="8"/>
  <c r="BL69" i="8"/>
  <c r="P54" i="8"/>
  <c r="BX24" i="8"/>
  <c r="P62" i="8"/>
  <c r="AY66" i="8"/>
  <c r="BX41" i="8"/>
  <c r="P61" i="8"/>
  <c r="D63" i="8"/>
  <c r="BX52" i="8"/>
  <c r="P84" i="8"/>
  <c r="BL27" i="8"/>
  <c r="BW73" i="8"/>
  <c r="O15" i="8"/>
  <c r="C37" i="8"/>
  <c r="BL63" i="8"/>
  <c r="O79" i="8"/>
  <c r="BW84" i="8"/>
  <c r="BL44" i="8"/>
  <c r="O25" i="8"/>
  <c r="D14" i="8"/>
  <c r="BL29" i="8"/>
  <c r="BW25" i="8"/>
  <c r="O23" i="8"/>
  <c r="BX84" i="8"/>
  <c r="D68" i="8"/>
  <c r="BK54" i="8"/>
  <c r="C73" i="8"/>
  <c r="BL17" i="8"/>
  <c r="P27" i="8"/>
  <c r="D57" i="8"/>
  <c r="AY80" i="8"/>
  <c r="AY78" i="8"/>
  <c r="P41" i="8"/>
  <c r="BL53" i="8"/>
  <c r="P25" i="8"/>
  <c r="AZ46" i="8"/>
  <c r="D62" i="8"/>
  <c r="BK14" i="8"/>
  <c r="BL66" i="8"/>
  <c r="BK66" i="8"/>
  <c r="AY55" i="8"/>
  <c r="AZ43" i="8"/>
  <c r="BW24" i="8"/>
  <c r="AY28" i="8"/>
  <c r="AY60" i="8"/>
  <c r="BX17" i="8"/>
  <c r="BX23" i="8"/>
  <c r="BX28" i="8"/>
  <c r="D22" i="8"/>
  <c r="AZ26" i="8"/>
  <c r="BX29" i="8"/>
  <c r="BW57" i="8"/>
  <c r="D65" i="8"/>
  <c r="C69" i="8"/>
  <c r="P78" i="8"/>
  <c r="BX42" i="8"/>
  <c r="C80" i="8"/>
  <c r="AZ64" i="8"/>
  <c r="C42" i="8"/>
  <c r="BW80" i="8"/>
  <c r="AZ37" i="8"/>
  <c r="C70" i="8"/>
  <c r="AZ84" i="8"/>
  <c r="D43" i="8"/>
  <c r="BW54" i="8"/>
  <c r="BL15" i="8"/>
  <c r="P14" i="8"/>
  <c r="O38" i="8"/>
  <c r="P16" i="8"/>
  <c r="P23" i="8"/>
  <c r="O62" i="8"/>
  <c r="AZ34" i="8"/>
  <c r="AY48" i="8"/>
  <c r="BK67" i="8"/>
  <c r="BW14" i="8"/>
  <c r="P36" i="8"/>
  <c r="AY23" i="8"/>
  <c r="P79" i="8"/>
  <c r="BX49" i="8"/>
  <c r="BK45" i="8"/>
  <c r="AY73" i="8"/>
  <c r="BL22" i="8"/>
  <c r="BX79" i="8"/>
  <c r="AZ59" i="8"/>
  <c r="BL34" i="8"/>
  <c r="BW79" i="8"/>
  <c r="P49" i="8"/>
  <c r="C51" i="8"/>
  <c r="AY63" i="8"/>
  <c r="BW26" i="8"/>
  <c r="BW51" i="8"/>
  <c r="BK55" i="8"/>
  <c r="C18" i="8"/>
  <c r="AY54" i="8"/>
  <c r="D20" i="8"/>
  <c r="AY84" i="8"/>
  <c r="BW66" i="8"/>
  <c r="BL46" i="8"/>
  <c r="AY58" i="8"/>
  <c r="O69" i="8"/>
  <c r="BW20" i="8"/>
  <c r="BX30" i="8"/>
  <c r="AZ80" i="8"/>
  <c r="P71" i="8"/>
  <c r="BW42" i="8"/>
  <c r="D42" i="8"/>
  <c r="D55" i="8"/>
  <c r="C41" i="8"/>
  <c r="O24" i="8"/>
  <c r="P63" i="8"/>
  <c r="BX80" i="8"/>
  <c r="P51" i="8"/>
  <c r="BW46" i="8"/>
  <c r="BL36" i="8"/>
  <c r="BX59" i="8"/>
  <c r="BL80" i="8"/>
  <c r="AZ20" i="8"/>
  <c r="C35" i="8"/>
  <c r="D30" i="8"/>
  <c r="P48" i="8"/>
  <c r="P70" i="8"/>
  <c r="BW67" i="8"/>
  <c r="AY43" i="8"/>
  <c r="AY35" i="8"/>
  <c r="BW65" i="8"/>
  <c r="BK80" i="8"/>
  <c r="AZ52" i="8"/>
  <c r="BX43" i="8"/>
  <c r="AZ24" i="8"/>
  <c r="BL45" i="8"/>
  <c r="C19" i="8"/>
  <c r="P34" i="8"/>
  <c r="BK33" i="8"/>
  <c r="P31" i="8"/>
  <c r="C49" i="8"/>
  <c r="O73" i="8"/>
  <c r="BW43" i="8"/>
  <c r="BW59" i="8"/>
  <c r="C60" i="8"/>
  <c r="BX19" i="8"/>
  <c r="P60" i="8"/>
  <c r="AY25" i="8"/>
  <c r="C26" i="8"/>
  <c r="O43" i="8"/>
  <c r="BW56" i="8"/>
  <c r="O17" i="8"/>
  <c r="BX53" i="8"/>
  <c r="BL59" i="8"/>
  <c r="BW55" i="8"/>
  <c r="D23" i="8"/>
  <c r="AY79" i="8"/>
  <c r="P69" i="8"/>
  <c r="BW41" i="8"/>
  <c r="O20" i="8"/>
  <c r="BL25" i="8"/>
  <c r="P45" i="8"/>
  <c r="BL42" i="8"/>
  <c r="BW50" i="8"/>
  <c r="AY52" i="8"/>
  <c r="BX61" i="8"/>
  <c r="D84" i="8"/>
  <c r="O52" i="8"/>
  <c r="AZ73" i="8"/>
  <c r="BK79" i="8"/>
  <c r="P85" i="8"/>
  <c r="BW29" i="8"/>
  <c r="C43" i="8"/>
  <c r="O31" i="8"/>
  <c r="O70" i="8"/>
  <c r="AY17" i="8"/>
  <c r="BL79" i="8"/>
  <c r="D85" i="8"/>
  <c r="AZ57" i="8"/>
  <c r="BL14" i="8"/>
  <c r="C22" i="8"/>
  <c r="BK78" i="8"/>
  <c r="BL56" i="8"/>
  <c r="D83" i="8"/>
  <c r="C52" i="8"/>
  <c r="D13" i="8"/>
  <c r="BL58" i="8"/>
  <c r="BK48" i="8"/>
  <c r="D52" i="8"/>
  <c r="BK30" i="8"/>
  <c r="BL31" i="8"/>
  <c r="BX13" i="8"/>
  <c r="O28" i="8"/>
  <c r="AZ18" i="8"/>
  <c r="AY38" i="8"/>
  <c r="BW37" i="8"/>
  <c r="C38" i="8"/>
  <c r="BW44" i="8"/>
  <c r="AZ53" i="8"/>
  <c r="BW33" i="8"/>
  <c r="AY67" i="8"/>
  <c r="O26" i="8"/>
  <c r="BW13" i="8"/>
  <c r="C36" i="8"/>
  <c r="BL55" i="8"/>
  <c r="C68" i="8"/>
  <c r="AY36" i="8"/>
  <c r="P56" i="8"/>
  <c r="AZ56" i="8"/>
  <c r="C66" i="8"/>
  <c r="BK64" i="8"/>
  <c r="P32" i="8"/>
  <c r="BK36" i="8"/>
  <c r="BW32" i="8"/>
  <c r="BX14" i="8"/>
  <c r="BK18" i="8"/>
  <c r="AZ68" i="8"/>
  <c r="BL48" i="8"/>
  <c r="C85" i="8"/>
  <c r="D45" i="8"/>
  <c r="O27" i="8"/>
  <c r="BX62" i="8"/>
  <c r="AY13" i="8"/>
  <c r="O46" i="8"/>
  <c r="D59" i="8"/>
  <c r="BW18" i="8"/>
  <c r="C46" i="8"/>
  <c r="O34" i="8"/>
  <c r="O30" i="8"/>
  <c r="BK34" i="8"/>
  <c r="BL70" i="8"/>
  <c r="P35" i="8"/>
  <c r="D28" i="8"/>
  <c r="BL16" i="8"/>
  <c r="BX83" i="8"/>
  <c r="O63" i="8"/>
  <c r="O13" i="8"/>
  <c r="BX38" i="8"/>
  <c r="AZ33" i="8"/>
  <c r="AY45" i="8"/>
  <c r="AY20" i="8"/>
  <c r="O64" i="8"/>
  <c r="D78" i="8"/>
  <c r="C53" i="8"/>
  <c r="D24" i="8"/>
  <c r="AZ69" i="8"/>
  <c r="O56" i="8"/>
  <c r="P42" i="8"/>
  <c r="BX58" i="8"/>
  <c r="P30" i="8"/>
  <c r="BW49" i="8"/>
  <c r="BW17" i="8"/>
  <c r="O78" i="8"/>
  <c r="AY69" i="8"/>
  <c r="O35" i="8"/>
  <c r="D69" i="8"/>
  <c r="BX56" i="8"/>
  <c r="O33" i="8"/>
  <c r="BK24" i="8"/>
  <c r="BW71" i="8"/>
  <c r="P50" i="8"/>
  <c r="BW52" i="8"/>
  <c r="BK84" i="8"/>
  <c r="BK68" i="8"/>
  <c r="O44" i="8"/>
  <c r="P83" i="8"/>
  <c r="C45" i="8"/>
  <c r="O71" i="8"/>
  <c r="AY65" i="8"/>
  <c r="AY46" i="8"/>
  <c r="BK17" i="8"/>
  <c r="AZ83" i="8"/>
  <c r="AZ48" i="8"/>
  <c r="BX32" i="8"/>
  <c r="BK69" i="8"/>
  <c r="BX60" i="8"/>
  <c r="BL67" i="8"/>
  <c r="AY30" i="8"/>
  <c r="C27" i="8"/>
  <c r="BK63" i="8"/>
  <c r="AY59" i="8"/>
  <c r="BL33" i="8"/>
  <c r="C30" i="8"/>
  <c r="BL64" i="8"/>
  <c r="P53" i="8"/>
  <c r="BX78" i="8"/>
  <c r="BW48" i="8"/>
  <c r="BL78" i="8"/>
  <c r="AZ31" i="8"/>
  <c r="AZ58" i="8"/>
  <c r="C32" i="8"/>
  <c r="BL51" i="8"/>
  <c r="D50" i="8"/>
  <c r="BK56" i="8"/>
  <c r="BK59" i="8"/>
  <c r="BK27" i="8"/>
  <c r="AZ16" i="8"/>
  <c r="AY34" i="8"/>
  <c r="P66" i="8"/>
  <c r="C17" i="8"/>
  <c r="P46" i="8"/>
  <c r="O67" i="8"/>
  <c r="D58" i="8"/>
  <c r="BL41" i="8"/>
  <c r="BK41" i="8"/>
  <c r="AZ35" i="8"/>
  <c r="D15" i="8"/>
  <c r="BW38" i="8"/>
  <c r="O19" i="8"/>
  <c r="D54" i="8"/>
  <c r="BX70" i="8"/>
  <c r="P58" i="8"/>
  <c r="AY29" i="8"/>
  <c r="C61" i="8"/>
  <c r="AZ19" i="8"/>
  <c r="BW36" i="8"/>
  <c r="BX20" i="8"/>
  <c r="O32" i="8"/>
  <c r="AY57" i="8"/>
  <c r="BX73" i="8"/>
  <c r="D25" i="8"/>
  <c r="BX66" i="8"/>
  <c r="BW64" i="8"/>
  <c r="P73" i="8"/>
  <c r="D53" i="8"/>
  <c r="O61" i="8"/>
  <c r="C57" i="8"/>
  <c r="BL24" i="8"/>
  <c r="AZ55" i="8"/>
  <c r="P18" i="8"/>
  <c r="BW45" i="8"/>
  <c r="C33" i="8"/>
  <c r="BL73" i="8"/>
  <c r="D41" i="8"/>
  <c r="BL38" i="8"/>
  <c r="C16" i="8"/>
  <c r="BX18" i="8"/>
  <c r="BL30" i="8"/>
  <c r="C48" i="8"/>
  <c r="C24" i="8"/>
  <c r="P29" i="8"/>
  <c r="O48" i="8"/>
  <c r="BW34" i="8"/>
  <c r="BX48" i="8"/>
  <c r="O68" i="8"/>
  <c r="O55" i="8"/>
  <c r="AY51" i="8"/>
  <c r="C25" i="8"/>
  <c r="D33" i="8"/>
  <c r="BL68" i="8"/>
  <c r="BX71" i="8"/>
  <c r="P22" i="8"/>
  <c r="AZ38" i="8"/>
  <c r="BL57" i="8"/>
  <c r="AY83" i="8"/>
  <c r="C54" i="8"/>
  <c r="BK13" i="8"/>
  <c r="AZ44" i="8"/>
  <c r="AY14" i="8"/>
  <c r="BK46" i="8"/>
  <c r="BX69" i="8"/>
  <c r="C64" i="8"/>
  <c r="BX35" i="8"/>
  <c r="BK49" i="8"/>
  <c r="BK60" i="8"/>
  <c r="P64" i="8"/>
  <c r="AZ79" i="8"/>
  <c r="BL71" i="8"/>
  <c r="D73" i="8"/>
  <c r="C14" i="8"/>
  <c r="AZ45" i="8"/>
  <c r="BL85" i="8"/>
  <c r="BL84" i="8"/>
  <c r="BL54" i="8"/>
  <c r="AZ54" i="8"/>
  <c r="BX26" i="8"/>
  <c r="BX55" i="8"/>
  <c r="AZ85" i="8"/>
  <c r="C59" i="8"/>
  <c r="C79" i="8"/>
  <c r="BK38" i="8"/>
  <c r="P68" i="8"/>
  <c r="D34" i="8"/>
  <c r="O60" i="8"/>
  <c r="P55" i="8"/>
  <c r="AY49" i="8"/>
  <c r="O59" i="8"/>
  <c r="BX31" i="8"/>
  <c r="O41" i="8"/>
  <c r="BK83" i="8"/>
  <c r="D51" i="8"/>
  <c r="BW53" i="8"/>
  <c r="C44" i="8"/>
  <c r="P13" i="8"/>
  <c r="O49" i="8"/>
  <c r="BW16" i="8"/>
  <c r="BX37" i="8"/>
  <c r="BK35" i="8"/>
  <c r="AZ29" i="8"/>
  <c r="D17" i="8"/>
  <c r="O42" i="8"/>
  <c r="BW35" i="8"/>
  <c r="AZ13" i="8"/>
  <c r="AY18" i="8"/>
  <c r="D35" i="8"/>
  <c r="D32" i="8"/>
  <c r="AY70" i="8"/>
  <c r="AZ70" i="8"/>
  <c r="L14" i="7" l="1"/>
  <c r="N14" i="7" s="1"/>
  <c r="H85" i="1"/>
  <c r="L53" i="6"/>
  <c r="N53" i="6" s="1"/>
  <c r="K11" i="4"/>
  <c r="H85" i="7"/>
  <c r="I21" i="7"/>
  <c r="L19" i="7"/>
  <c r="N19" i="7" s="1"/>
  <c r="F85" i="6"/>
  <c r="L24" i="6"/>
  <c r="L34" i="6"/>
  <c r="L23" i="7"/>
  <c r="L57" i="7"/>
  <c r="N57" i="7" s="1"/>
  <c r="L45" i="4" s="1"/>
  <c r="L83" i="7"/>
  <c r="N83" i="7" s="1"/>
  <c r="H47" i="1"/>
  <c r="H73" i="1" s="1"/>
  <c r="I80" i="7"/>
  <c r="L24" i="7"/>
  <c r="L54" i="7"/>
  <c r="N54" i="7" s="1"/>
  <c r="L58" i="7"/>
  <c r="N58" i="7" s="1"/>
  <c r="L12" i="4"/>
  <c r="L66" i="7"/>
  <c r="L32" i="7"/>
  <c r="L13" i="6"/>
  <c r="N13" i="6" s="1"/>
  <c r="K6" i="4" s="1"/>
  <c r="L60" i="6"/>
  <c r="N60" i="6" s="1"/>
  <c r="L29" i="1"/>
  <c r="L42" i="1"/>
  <c r="N42" i="1" s="1"/>
  <c r="J35" i="4" s="1"/>
  <c r="L20" i="7"/>
  <c r="N20" i="7" s="1"/>
  <c r="I85" i="1"/>
  <c r="L82" i="7"/>
  <c r="C85" i="7"/>
  <c r="L13" i="7"/>
  <c r="N13" i="7" s="1"/>
  <c r="L6" i="4" s="1"/>
  <c r="L63" i="7"/>
  <c r="N63" i="7" s="1"/>
  <c r="L51" i="4" s="1"/>
  <c r="G47" i="7"/>
  <c r="G73" i="7" s="1"/>
  <c r="L29" i="7"/>
  <c r="D47" i="7"/>
  <c r="D73" i="7" s="1"/>
  <c r="J12" i="4"/>
  <c r="L34" i="7"/>
  <c r="L59" i="7"/>
  <c r="N59" i="7" s="1"/>
  <c r="L46" i="4" s="1"/>
  <c r="L41" i="1"/>
  <c r="N41" i="1" s="1"/>
  <c r="J32" i="4" s="1"/>
  <c r="J31" i="4" s="1"/>
  <c r="B33" i="4" s="1"/>
  <c r="L48" i="7"/>
  <c r="C47" i="7"/>
  <c r="C73" i="7" s="1"/>
  <c r="L64" i="1"/>
  <c r="N64" i="1" s="1"/>
  <c r="L30" i="7"/>
  <c r="L18" i="7"/>
  <c r="N18" i="7" s="1"/>
  <c r="L23" i="4" s="1"/>
  <c r="I21" i="1"/>
  <c r="L41" i="7"/>
  <c r="N41" i="7" s="1"/>
  <c r="L32" i="4" s="1"/>
  <c r="L31" i="4" s="1"/>
  <c r="L45" i="7"/>
  <c r="N45" i="7" s="1"/>
  <c r="L38" i="4" s="1"/>
  <c r="H80" i="7"/>
  <c r="H87" i="7" s="1"/>
  <c r="L84" i="6"/>
  <c r="N84" i="6" s="1"/>
  <c r="N85" i="6" s="1"/>
  <c r="K36" i="4" s="1"/>
  <c r="L29" i="6"/>
  <c r="L62" i="6"/>
  <c r="N62" i="6" s="1"/>
  <c r="K47" i="4" s="1"/>
  <c r="H47" i="7"/>
  <c r="H73" i="7" s="1"/>
  <c r="I85" i="7"/>
  <c r="L77" i="7"/>
  <c r="N77" i="7" s="1"/>
  <c r="C80" i="7"/>
  <c r="C87" i="7" s="1"/>
  <c r="F80" i="7"/>
  <c r="L18" i="1"/>
  <c r="N18" i="1" s="1"/>
  <c r="J23" i="4" s="1"/>
  <c r="D21" i="7"/>
  <c r="D80" i="6"/>
  <c r="L51" i="1"/>
  <c r="F47" i="7"/>
  <c r="F73" i="7" s="1"/>
  <c r="L51" i="7"/>
  <c r="F21" i="7"/>
  <c r="L19" i="1"/>
  <c r="N19" i="1" s="1"/>
  <c r="L25" i="7"/>
  <c r="L69" i="7"/>
  <c r="N69" i="7" s="1"/>
  <c r="L30" i="1"/>
  <c r="L61" i="1"/>
  <c r="N61" i="1" s="1"/>
  <c r="G80" i="6"/>
  <c r="L61" i="6"/>
  <c r="N61" i="6" s="1"/>
  <c r="L71" i="7"/>
  <c r="N71" i="7" s="1"/>
  <c r="L60" i="7"/>
  <c r="N60" i="7" s="1"/>
  <c r="G80" i="7"/>
  <c r="G87" i="7" s="1"/>
  <c r="L68" i="7"/>
  <c r="N68" i="7" s="1"/>
  <c r="L40" i="4" s="1"/>
  <c r="L64" i="7"/>
  <c r="N64" i="7" s="1"/>
  <c r="L67" i="7"/>
  <c r="N67" i="7" s="1"/>
  <c r="L34" i="1"/>
  <c r="L35" i="7"/>
  <c r="L35" i="1"/>
  <c r="I47" i="6"/>
  <c r="I73" i="6" s="1"/>
  <c r="C21" i="7"/>
  <c r="C39" i="7" s="1"/>
  <c r="L22" i="7"/>
  <c r="D80" i="1"/>
  <c r="L55" i="6"/>
  <c r="N55" i="6" s="1"/>
  <c r="K44" i="4" s="1"/>
  <c r="L31" i="1"/>
  <c r="H80" i="1"/>
  <c r="L46" i="1"/>
  <c r="N46" i="1" s="1"/>
  <c r="J39" i="4" s="1"/>
  <c r="L32" i="6"/>
  <c r="G21" i="6"/>
  <c r="J7" i="4"/>
  <c r="L38" i="1"/>
  <c r="N38" i="1" s="1"/>
  <c r="L30" i="6"/>
  <c r="I85" i="6"/>
  <c r="F85" i="1"/>
  <c r="L70" i="1"/>
  <c r="N70" i="1" s="1"/>
  <c r="L63" i="6"/>
  <c r="N63" i="6" s="1"/>
  <c r="K51" i="4" s="1"/>
  <c r="L59" i="6"/>
  <c r="N59" i="6" s="1"/>
  <c r="K46" i="4" s="1"/>
  <c r="L66" i="6"/>
  <c r="L22" i="1"/>
  <c r="C21" i="1"/>
  <c r="C39" i="1" s="1"/>
  <c r="L26" i="1"/>
  <c r="L78" i="1"/>
  <c r="N78" i="1" s="1"/>
  <c r="L78" i="6"/>
  <c r="N78" i="6" s="1"/>
  <c r="L42" i="7"/>
  <c r="N42" i="7" s="1"/>
  <c r="L35" i="4" s="1"/>
  <c r="L84" i="7"/>
  <c r="N84" i="7" s="1"/>
  <c r="L62" i="7"/>
  <c r="N62" i="7" s="1"/>
  <c r="L47" i="4" s="1"/>
  <c r="I47" i="7"/>
  <c r="I73" i="7" s="1"/>
  <c r="L49" i="4" s="1"/>
  <c r="L7" i="4"/>
  <c r="L9" i="4" s="1"/>
  <c r="R11" i="12" s="1"/>
  <c r="L38" i="7"/>
  <c r="N38" i="7" s="1"/>
  <c r="L68" i="1"/>
  <c r="N68" i="1" s="1"/>
  <c r="J40" i="4" s="1"/>
  <c r="G85" i="1"/>
  <c r="H21" i="7"/>
  <c r="L69" i="1"/>
  <c r="N69" i="1" s="1"/>
  <c r="I47" i="1"/>
  <c r="I73" i="1" s="1"/>
  <c r="L27" i="1"/>
  <c r="H80" i="6"/>
  <c r="I80" i="1"/>
  <c r="I87" i="1" s="1"/>
  <c r="D21" i="6"/>
  <c r="L43" i="6"/>
  <c r="N43" i="6" s="1"/>
  <c r="L70" i="6"/>
  <c r="N70" i="6" s="1"/>
  <c r="C85" i="1"/>
  <c r="L82" i="1"/>
  <c r="L54" i="6"/>
  <c r="N54" i="6" s="1"/>
  <c r="L28" i="6"/>
  <c r="L27" i="6"/>
  <c r="L83" i="6"/>
  <c r="N83" i="6" s="1"/>
  <c r="L22" i="6"/>
  <c r="C21" i="6"/>
  <c r="C39" i="6" s="1"/>
  <c r="L36" i="1"/>
  <c r="L67" i="6"/>
  <c r="N67" i="6" s="1"/>
  <c r="L33" i="1"/>
  <c r="L58" i="6"/>
  <c r="N58" i="6" s="1"/>
  <c r="K45" i="4" s="1"/>
  <c r="L17" i="1"/>
  <c r="N17" i="1" s="1"/>
  <c r="L67" i="1"/>
  <c r="N67" i="1" s="1"/>
  <c r="L35" i="6"/>
  <c r="L23" i="1"/>
  <c r="D47" i="6"/>
  <c r="D73" i="6" s="1"/>
  <c r="L68" i="6"/>
  <c r="N68" i="6" s="1"/>
  <c r="K40" i="4" s="1"/>
  <c r="L18" i="6"/>
  <c r="N18" i="6" s="1"/>
  <c r="K23" i="4" s="1"/>
  <c r="L56" i="6"/>
  <c r="N56" i="6" s="1"/>
  <c r="D85" i="6"/>
  <c r="L57" i="6"/>
  <c r="N57" i="6" s="1"/>
  <c r="L58" i="1"/>
  <c r="N58" i="1" s="1"/>
  <c r="K7" i="4"/>
  <c r="L38" i="6"/>
  <c r="N38" i="6" s="1"/>
  <c r="L26" i="6"/>
  <c r="L37" i="6"/>
  <c r="N37" i="6" s="1"/>
  <c r="N21" i="6" s="1"/>
  <c r="G21" i="7"/>
  <c r="L33" i="7"/>
  <c r="L56" i="7"/>
  <c r="N56" i="7" s="1"/>
  <c r="L83" i="1"/>
  <c r="N83" i="1" s="1"/>
  <c r="H85" i="6"/>
  <c r="L50" i="7"/>
  <c r="L44" i="1"/>
  <c r="N44" i="1" s="1"/>
  <c r="J37" i="4" s="1"/>
  <c r="L79" i="6"/>
  <c r="N79" i="6" s="1"/>
  <c r="L56" i="1"/>
  <c r="N56" i="1" s="1"/>
  <c r="L16" i="7"/>
  <c r="N16" i="7" s="1"/>
  <c r="L72" i="7"/>
  <c r="N72" i="7" s="1"/>
  <c r="L79" i="7"/>
  <c r="N79" i="7" s="1"/>
  <c r="L41" i="6"/>
  <c r="N41" i="6" s="1"/>
  <c r="K32" i="4" s="1"/>
  <c r="K31" i="4" s="1"/>
  <c r="C33" i="4" s="1"/>
  <c r="L20" i="6"/>
  <c r="N20" i="6" s="1"/>
  <c r="L45" i="6"/>
  <c r="N45" i="6" s="1"/>
  <c r="K38" i="4" s="1"/>
  <c r="L32" i="1"/>
  <c r="L43" i="1"/>
  <c r="N43" i="1" s="1"/>
  <c r="L16" i="1"/>
  <c r="N16" i="1" s="1"/>
  <c r="C80" i="6"/>
  <c r="L77" i="6"/>
  <c r="L57" i="1"/>
  <c r="N57" i="1" s="1"/>
  <c r="J11" i="4"/>
  <c r="J13" i="4" s="1"/>
  <c r="B30" i="4" s="1"/>
  <c r="P12" i="12" s="1"/>
  <c r="F47" i="6"/>
  <c r="F73" i="6" s="1"/>
  <c r="L13" i="1"/>
  <c r="N13" i="1" s="1"/>
  <c r="J6" i="4" s="1"/>
  <c r="AF12" i="4" s="1"/>
  <c r="L20" i="1"/>
  <c r="N20" i="1" s="1"/>
  <c r="L65" i="6"/>
  <c r="N65" i="6" s="1"/>
  <c r="C85" i="6"/>
  <c r="L82" i="6"/>
  <c r="N82" i="6" s="1"/>
  <c r="H21" i="6"/>
  <c r="D85" i="1"/>
  <c r="D87" i="1" s="1"/>
  <c r="L52" i="6"/>
  <c r="N52" i="6" s="1"/>
  <c r="L51" i="6"/>
  <c r="L19" i="6"/>
  <c r="N19" i="6" s="1"/>
  <c r="L31" i="6"/>
  <c r="L62" i="1"/>
  <c r="N62" i="1" s="1"/>
  <c r="J47" i="4" s="1"/>
  <c r="L71" i="6"/>
  <c r="N71" i="6" s="1"/>
  <c r="L33" i="6"/>
  <c r="D85" i="7"/>
  <c r="L53" i="7"/>
  <c r="N53" i="7" s="1"/>
  <c r="L36" i="7"/>
  <c r="D80" i="7"/>
  <c r="L24" i="1"/>
  <c r="L37" i="7"/>
  <c r="N37" i="7" s="1"/>
  <c r="N21" i="7" s="1"/>
  <c r="L26" i="7"/>
  <c r="L65" i="7"/>
  <c r="N65" i="7" s="1"/>
  <c r="D47" i="1"/>
  <c r="D73" i="1" s="1"/>
  <c r="L72" i="1"/>
  <c r="N72" i="1" s="1"/>
  <c r="L64" i="6"/>
  <c r="N64" i="6" s="1"/>
  <c r="L28" i="7"/>
  <c r="L44" i="7"/>
  <c r="N44" i="7" s="1"/>
  <c r="L37" i="4" s="1"/>
  <c r="L43" i="7"/>
  <c r="N43" i="7" s="1"/>
  <c r="L84" i="1"/>
  <c r="N84" i="1" s="1"/>
  <c r="L25" i="6"/>
  <c r="G47" i="1"/>
  <c r="G73" i="1" s="1"/>
  <c r="L79" i="1"/>
  <c r="N79" i="1" s="1"/>
  <c r="L37" i="1"/>
  <c r="N37" i="1" s="1"/>
  <c r="N21" i="1" s="1"/>
  <c r="L23" i="6"/>
  <c r="L55" i="1"/>
  <c r="N55" i="1" s="1"/>
  <c r="J44" i="4" s="1"/>
  <c r="L44" i="6"/>
  <c r="N44" i="6" s="1"/>
  <c r="K37" i="4" s="1"/>
  <c r="L16" i="6"/>
  <c r="N16" i="6" s="1"/>
  <c r="L52" i="1"/>
  <c r="N52" i="1" s="1"/>
  <c r="G47" i="6"/>
  <c r="G73" i="6" s="1"/>
  <c r="L61" i="7"/>
  <c r="N61" i="7" s="1"/>
  <c r="L31" i="7"/>
  <c r="I21" i="6"/>
  <c r="L50" i="6"/>
  <c r="L28" i="1"/>
  <c r="L72" i="6"/>
  <c r="N72" i="6" s="1"/>
  <c r="L42" i="6"/>
  <c r="N42" i="6" s="1"/>
  <c r="K35" i="4" s="1"/>
  <c r="L52" i="7"/>
  <c r="N52" i="7" s="1"/>
  <c r="L49" i="7"/>
  <c r="N49" i="7" s="1"/>
  <c r="L78" i="7"/>
  <c r="N78" i="7" s="1"/>
  <c r="F21" i="1"/>
  <c r="L49" i="1"/>
  <c r="N49" i="1" s="1"/>
  <c r="G80" i="1"/>
  <c r="G87" i="1" s="1"/>
  <c r="L77" i="1"/>
  <c r="N77" i="1" s="1"/>
  <c r="C80" i="1"/>
  <c r="G85" i="6"/>
  <c r="L45" i="1"/>
  <c r="N45" i="1" s="1"/>
  <c r="J38" i="4" s="1"/>
  <c r="L14" i="1"/>
  <c r="N14" i="1" s="1"/>
  <c r="L53" i="1"/>
  <c r="N53" i="1" s="1"/>
  <c r="L46" i="6"/>
  <c r="N46" i="6" s="1"/>
  <c r="K39" i="4" s="1"/>
  <c r="H47" i="6"/>
  <c r="H73" i="6" s="1"/>
  <c r="L63" i="1"/>
  <c r="N63" i="1" s="1"/>
  <c r="J51" i="4" s="1"/>
  <c r="L36" i="6"/>
  <c r="L49" i="6"/>
  <c r="N49" i="6" s="1"/>
  <c r="G85" i="7"/>
  <c r="L11" i="4"/>
  <c r="L70" i="7"/>
  <c r="N70" i="7" s="1"/>
  <c r="L46" i="7"/>
  <c r="N46" i="7" s="1"/>
  <c r="L39" i="4" s="1"/>
  <c r="L55" i="7"/>
  <c r="N55" i="7" s="1"/>
  <c r="L44" i="4" s="1"/>
  <c r="L54" i="1"/>
  <c r="N54" i="1" s="1"/>
  <c r="L17" i="7"/>
  <c r="N17" i="7" s="1"/>
  <c r="K12" i="4"/>
  <c r="K13" i="4" s="1"/>
  <c r="L48" i="1"/>
  <c r="C47" i="1"/>
  <c r="C73" i="1" s="1"/>
  <c r="D21" i="1"/>
  <c r="L71" i="1"/>
  <c r="N71" i="1" s="1"/>
  <c r="L27" i="7"/>
  <c r="F85" i="7"/>
  <c r="F47" i="1"/>
  <c r="F73" i="1" s="1"/>
  <c r="L17" i="6"/>
  <c r="N17" i="6" s="1"/>
  <c r="L50" i="1"/>
  <c r="H21" i="1"/>
  <c r="F80" i="1"/>
  <c r="L69" i="6"/>
  <c r="N69" i="6" s="1"/>
  <c r="F21" i="6"/>
  <c r="L25" i="1"/>
  <c r="F80" i="6"/>
  <c r="I80" i="6"/>
  <c r="I87" i="6" s="1"/>
  <c r="L65" i="1"/>
  <c r="N65" i="1" s="1"/>
  <c r="L66" i="1"/>
  <c r="G21" i="1"/>
  <c r="L60" i="1"/>
  <c r="N60" i="1" s="1"/>
  <c r="L59" i="1"/>
  <c r="N59" i="1" s="1"/>
  <c r="J46" i="4" s="1"/>
  <c r="C47" i="6"/>
  <c r="C73" i="6" s="1"/>
  <c r="L48" i="6"/>
  <c r="L14" i="6"/>
  <c r="N14" i="6" s="1"/>
  <c r="L80" i="7"/>
  <c r="J49" i="4"/>
  <c r="C87" i="6"/>
  <c r="L40" i="7"/>
  <c r="AE12" i="4"/>
  <c r="J9" i="4"/>
  <c r="P11" i="12" s="1"/>
  <c r="J45" i="4"/>
  <c r="AF13" i="4"/>
  <c r="L80" i="1"/>
  <c r="F87" i="1"/>
  <c r="AF24" i="4"/>
  <c r="D33" i="4"/>
  <c r="E30" i="8"/>
  <c r="H30" i="8" s="1"/>
  <c r="J30" i="8" s="1"/>
  <c r="L30" i="8" s="1"/>
  <c r="Q20" i="8"/>
  <c r="T20" i="8" s="1"/>
  <c r="V20" i="8" s="1"/>
  <c r="X20" i="8" s="1"/>
  <c r="Q33" i="8"/>
  <c r="T33" i="8" s="1"/>
  <c r="V33" i="8" s="1"/>
  <c r="X33" i="8" s="1"/>
  <c r="BM69" i="8"/>
  <c r="BP69" i="8" s="1"/>
  <c r="BR69" i="8" s="1"/>
  <c r="BT69" i="8" s="1"/>
  <c r="E78" i="8"/>
  <c r="H78" i="8" s="1"/>
  <c r="C81" i="8"/>
  <c r="E48" i="8"/>
  <c r="H48" i="8" s="1"/>
  <c r="J48" i="8" s="1"/>
  <c r="L48" i="8" s="1"/>
  <c r="C47" i="8"/>
  <c r="C74" i="8" s="1"/>
  <c r="P21" i="8"/>
  <c r="P39" i="8" s="1"/>
  <c r="BY57" i="8"/>
  <c r="CB57" i="8" s="1"/>
  <c r="CD57" i="8" s="1"/>
  <c r="CF57" i="8" s="1"/>
  <c r="BM35" i="8"/>
  <c r="BP35" i="8" s="1"/>
  <c r="BR35" i="8" s="1"/>
  <c r="BT35" i="8" s="1"/>
  <c r="BA44" i="8"/>
  <c r="BD44" i="8" s="1"/>
  <c r="BF44" i="8" s="1"/>
  <c r="BH44" i="8" s="1"/>
  <c r="E17" i="8"/>
  <c r="H17" i="8" s="1"/>
  <c r="J17" i="8" s="1"/>
  <c r="L17" i="8" s="1"/>
  <c r="BA19" i="8"/>
  <c r="BD19" i="8" s="1"/>
  <c r="BF19" i="8" s="1"/>
  <c r="BH19" i="8" s="1"/>
  <c r="BA30" i="8"/>
  <c r="BD30" i="8" s="1"/>
  <c r="BF30" i="8" s="1"/>
  <c r="BH30" i="8" s="1"/>
  <c r="E14" i="8"/>
  <c r="H14" i="8" s="1"/>
  <c r="J14" i="8" s="1"/>
  <c r="L14" i="8" s="1"/>
  <c r="E57" i="8"/>
  <c r="H57" i="8" s="1"/>
  <c r="J57" i="8" s="1"/>
  <c r="L57" i="8" s="1"/>
  <c r="BY17" i="8"/>
  <c r="CB17" i="8" s="1"/>
  <c r="CD17" i="8" s="1"/>
  <c r="CF17" i="8" s="1"/>
  <c r="E62" i="8"/>
  <c r="H62" i="8" s="1"/>
  <c r="J62" i="8" s="1"/>
  <c r="L62" i="8" s="1"/>
  <c r="BM41" i="8"/>
  <c r="BP41" i="8" s="1"/>
  <c r="BR41" i="8" s="1"/>
  <c r="BT41" i="8" s="1"/>
  <c r="Q63" i="8"/>
  <c r="BM34" i="8"/>
  <c r="BP34" i="8" s="1"/>
  <c r="BR34" i="8" s="1"/>
  <c r="BT34" i="8" s="1"/>
  <c r="BY71" i="8"/>
  <c r="CB71" i="8" s="1"/>
  <c r="CD71" i="8" s="1"/>
  <c r="CF71" i="8" s="1"/>
  <c r="BA52" i="8"/>
  <c r="BD52" i="8" s="1"/>
  <c r="BF52" i="8" s="1"/>
  <c r="BH52" i="8" s="1"/>
  <c r="BY41" i="8"/>
  <c r="CB41" i="8" s="1"/>
  <c r="E33" i="8"/>
  <c r="H33" i="8" s="1"/>
  <c r="J33" i="8" s="1"/>
  <c r="L33" i="8" s="1"/>
  <c r="BM84" i="8"/>
  <c r="BP84" i="8" s="1"/>
  <c r="BR84" i="8" s="1"/>
  <c r="BT84" i="8" s="1"/>
  <c r="BY53" i="8"/>
  <c r="CB53" i="8" s="1"/>
  <c r="CD53" i="8" s="1"/>
  <c r="CF53" i="8" s="1"/>
  <c r="BX21" i="8"/>
  <c r="BY45" i="8"/>
  <c r="CB45" i="8" s="1"/>
  <c r="CD45" i="8" s="1"/>
  <c r="CF45" i="8" s="1"/>
  <c r="Q85" i="8"/>
  <c r="T85" i="8" s="1"/>
  <c r="V85" i="8" s="1"/>
  <c r="X85" i="8" s="1"/>
  <c r="Q50" i="8"/>
  <c r="T50" i="8" s="1"/>
  <c r="V50" i="8" s="1"/>
  <c r="X50" i="8" s="1"/>
  <c r="BM24" i="8"/>
  <c r="BP24" i="8" s="1"/>
  <c r="BR24" i="8" s="1"/>
  <c r="BT24" i="8" s="1"/>
  <c r="Q61" i="8"/>
  <c r="T61" i="8" s="1"/>
  <c r="V61" i="8" s="1"/>
  <c r="X61" i="8" s="1"/>
  <c r="Q41" i="8"/>
  <c r="T41" i="8" s="1"/>
  <c r="BY64" i="8"/>
  <c r="CB64" i="8" s="1"/>
  <c r="CD64" i="8" s="1"/>
  <c r="CF64" i="8" s="1"/>
  <c r="BX86" i="8"/>
  <c r="Q30" i="8"/>
  <c r="T30" i="8" s="1"/>
  <c r="V30" i="8" s="1"/>
  <c r="X30" i="8" s="1"/>
  <c r="BY50" i="8"/>
  <c r="CB50" i="8" s="1"/>
  <c r="CD50" i="8" s="1"/>
  <c r="CF50" i="8" s="1"/>
  <c r="BM60" i="8"/>
  <c r="BP60" i="8" s="1"/>
  <c r="BR60" i="8" s="1"/>
  <c r="BT60" i="8" s="1"/>
  <c r="E59" i="8"/>
  <c r="H59" i="8" s="1"/>
  <c r="J59" i="8" s="1"/>
  <c r="L59" i="8" s="1"/>
  <c r="BY49" i="8"/>
  <c r="CB49" i="8" s="1"/>
  <c r="CD49" i="8" s="1"/>
  <c r="CF49" i="8" s="1"/>
  <c r="BA57" i="8"/>
  <c r="BD57" i="8" s="1"/>
  <c r="BF57" i="8" s="1"/>
  <c r="BH57" i="8" s="1"/>
  <c r="BY16" i="8"/>
  <c r="CB16" i="8" s="1"/>
  <c r="CD16" i="8" s="1"/>
  <c r="CF16" i="8" s="1"/>
  <c r="BA70" i="8"/>
  <c r="BD70" i="8" s="1"/>
  <c r="BF70" i="8" s="1"/>
  <c r="BH70" i="8" s="1"/>
  <c r="BA64" i="8"/>
  <c r="BD64" i="8" s="1"/>
  <c r="BF64" i="8" s="1"/>
  <c r="BH64" i="8" s="1"/>
  <c r="E27" i="8"/>
  <c r="H27" i="8" s="1"/>
  <c r="J27" i="8" s="1"/>
  <c r="L27" i="8" s="1"/>
  <c r="Q34" i="8"/>
  <c r="T34" i="8" s="1"/>
  <c r="V34" i="8" s="1"/>
  <c r="X34" i="8" s="1"/>
  <c r="BY33" i="8"/>
  <c r="CB33" i="8" s="1"/>
  <c r="CD33" i="8" s="1"/>
  <c r="CF33" i="8" s="1"/>
  <c r="O21" i="8"/>
  <c r="O39" i="8" s="1"/>
  <c r="Q22" i="8"/>
  <c r="T22" i="8" s="1"/>
  <c r="V22" i="8" s="1"/>
  <c r="X22" i="8" s="1"/>
  <c r="DI22" i="8" s="1"/>
  <c r="O81" i="8"/>
  <c r="O88" i="8" s="1"/>
  <c r="Q78" i="8"/>
  <c r="T78" i="8" s="1"/>
  <c r="V78" i="8" s="1"/>
  <c r="X78" i="8" s="1"/>
  <c r="BA59" i="8"/>
  <c r="BD59" i="8" s="1"/>
  <c r="BF59" i="8" s="1"/>
  <c r="BH59" i="8" s="1"/>
  <c r="BA43" i="8"/>
  <c r="BD43" i="8" s="1"/>
  <c r="BF43" i="8" s="1"/>
  <c r="BH43" i="8" s="1"/>
  <c r="BM38" i="8"/>
  <c r="BP38" i="8" s="1"/>
  <c r="BR38" i="8" s="1"/>
  <c r="BT38" i="8" s="1"/>
  <c r="BA79" i="8"/>
  <c r="BD79" i="8" s="1"/>
  <c r="BF79" i="8" s="1"/>
  <c r="BH79" i="8" s="1"/>
  <c r="BY79" i="8"/>
  <c r="CB79" i="8" s="1"/>
  <c r="CD79" i="8" s="1"/>
  <c r="CF79" i="8" s="1"/>
  <c r="D86" i="8"/>
  <c r="D88" i="8" s="1"/>
  <c r="BM20" i="8"/>
  <c r="BP20" i="8" s="1"/>
  <c r="BR20" i="8" s="1"/>
  <c r="BT20" i="8" s="1"/>
  <c r="Q35" i="8"/>
  <c r="T35" i="8" s="1"/>
  <c r="V35" i="8" s="1"/>
  <c r="X35" i="8" s="1"/>
  <c r="Q32" i="8"/>
  <c r="T32" i="8" s="1"/>
  <c r="V32" i="8" s="1"/>
  <c r="X32" i="8" s="1"/>
  <c r="BM58" i="8"/>
  <c r="BP58" i="8" s="1"/>
  <c r="BR58" i="8" s="1"/>
  <c r="BT58" i="8" s="1"/>
  <c r="E16" i="8"/>
  <c r="H16" i="8" s="1"/>
  <c r="J16" i="8" s="1"/>
  <c r="L16" i="8" s="1"/>
  <c r="BA34" i="8"/>
  <c r="BD34" i="8" s="1"/>
  <c r="BF34" i="8" s="1"/>
  <c r="BH34" i="8" s="1"/>
  <c r="D21" i="8"/>
  <c r="D39" i="8" s="1"/>
  <c r="D76" i="8" s="1"/>
  <c r="BY69" i="8"/>
  <c r="CB69" i="8" s="1"/>
  <c r="CD69" i="8" s="1"/>
  <c r="CF69" i="8" s="1"/>
  <c r="E84" i="8"/>
  <c r="H84" i="8" s="1"/>
  <c r="J84" i="8" s="1"/>
  <c r="L84" i="8" s="1"/>
  <c r="Q49" i="8"/>
  <c r="T49" i="8" s="1"/>
  <c r="V49" i="8" s="1"/>
  <c r="X49" i="8" s="1"/>
  <c r="BL86" i="8"/>
  <c r="BA83" i="8"/>
  <c r="AY86" i="8"/>
  <c r="BY67" i="8"/>
  <c r="CB67" i="8" s="1"/>
  <c r="CD67" i="8" s="1"/>
  <c r="CF67" i="8" s="1"/>
  <c r="BM13" i="8"/>
  <c r="BP13" i="8" s="1"/>
  <c r="BR13" i="8" s="1"/>
  <c r="BT13" i="8" s="1"/>
  <c r="BA16" i="8"/>
  <c r="BD16" i="8" s="1"/>
  <c r="BF16" i="8" s="1"/>
  <c r="BH16" i="8" s="1"/>
  <c r="Q25" i="8"/>
  <c r="T25" i="8" s="1"/>
  <c r="V25" i="8" s="1"/>
  <c r="X25" i="8" s="1"/>
  <c r="BY52" i="8"/>
  <c r="CB52" i="8" s="1"/>
  <c r="CD52" i="8" s="1"/>
  <c r="CF52" i="8" s="1"/>
  <c r="BY19" i="8"/>
  <c r="CB19" i="8" s="1"/>
  <c r="CD19" i="8" s="1"/>
  <c r="BM22" i="8"/>
  <c r="BP22" i="8" s="1"/>
  <c r="BR22" i="8" s="1"/>
  <c r="BT22" i="8" s="1"/>
  <c r="BK21" i="8"/>
  <c r="BK39" i="8" s="1"/>
  <c r="M23" i="4" s="1"/>
  <c r="Q53" i="8"/>
  <c r="T53" i="8" s="1"/>
  <c r="V53" i="8" s="1"/>
  <c r="X53" i="8" s="1"/>
  <c r="BK86" i="8"/>
  <c r="BM83" i="8"/>
  <c r="BP83" i="8" s="1"/>
  <c r="BP86" i="8" s="1"/>
  <c r="BM27" i="8"/>
  <c r="BP27" i="8" s="1"/>
  <c r="BR27" i="8" s="1"/>
  <c r="BT27" i="8" s="1"/>
  <c r="Q83" i="8"/>
  <c r="O86" i="8"/>
  <c r="E44" i="8"/>
  <c r="H44" i="8" s="1"/>
  <c r="J44" i="8" s="1"/>
  <c r="L44" i="8" s="1"/>
  <c r="Q52" i="8"/>
  <c r="T52" i="8" s="1"/>
  <c r="V52" i="8" s="1"/>
  <c r="X52" i="8" s="1"/>
  <c r="BA14" i="8"/>
  <c r="BD14" i="8" s="1"/>
  <c r="BF14" i="8" s="1"/>
  <c r="BH14" i="8" s="1"/>
  <c r="E46" i="8"/>
  <c r="H46" i="8" s="1"/>
  <c r="J46" i="8" s="1"/>
  <c r="L46" i="8" s="1"/>
  <c r="BY44" i="8"/>
  <c r="CB44" i="8" s="1"/>
  <c r="CD44" i="8" s="1"/>
  <c r="CF44" i="8" s="1"/>
  <c r="E13" i="8"/>
  <c r="H13" i="8" s="1"/>
  <c r="J13" i="8" s="1"/>
  <c r="L13" i="8" s="1"/>
  <c r="Q67" i="8"/>
  <c r="T67" i="8" s="1"/>
  <c r="V67" i="8" s="1"/>
  <c r="X67" i="8" s="1"/>
  <c r="BK81" i="8"/>
  <c r="BM78" i="8"/>
  <c r="BP78" i="8" s="1"/>
  <c r="BM63" i="8"/>
  <c r="BY42" i="8"/>
  <c r="CB42" i="8" s="1"/>
  <c r="CF42" i="8" s="1"/>
  <c r="Q38" i="8"/>
  <c r="T38" i="8" s="1"/>
  <c r="V38" i="8" s="1"/>
  <c r="N12" i="4" s="1"/>
  <c r="M12" i="4"/>
  <c r="Q13" i="8"/>
  <c r="T13" i="8" s="1"/>
  <c r="V13" i="8" s="1"/>
  <c r="BA69" i="8"/>
  <c r="BD69" i="8" s="1"/>
  <c r="BF69" i="8" s="1"/>
  <c r="BH69" i="8" s="1"/>
  <c r="Q18" i="8"/>
  <c r="T18" i="8" s="1"/>
  <c r="V18" i="8" s="1"/>
  <c r="X18" i="8" s="1"/>
  <c r="E69" i="8"/>
  <c r="H69" i="8" s="1"/>
  <c r="J69" i="8" s="1"/>
  <c r="L69" i="8" s="1"/>
  <c r="BY34" i="8"/>
  <c r="CB34" i="8" s="1"/>
  <c r="CD34" i="8" s="1"/>
  <c r="CF34" i="8" s="1"/>
  <c r="Q65" i="8"/>
  <c r="T65" i="8" s="1"/>
  <c r="V65" i="8" s="1"/>
  <c r="X65" i="8" s="1"/>
  <c r="BM42" i="8"/>
  <c r="BP42" i="8" s="1"/>
  <c r="BR42" i="8" s="1"/>
  <c r="BT42" i="8" s="1"/>
  <c r="M7" i="4"/>
  <c r="AG13" i="4" s="1"/>
  <c r="E38" i="8"/>
  <c r="H38" i="8" s="1"/>
  <c r="J38" i="8" s="1"/>
  <c r="N7" i="4" s="1"/>
  <c r="E15" i="8"/>
  <c r="H15" i="8" s="1"/>
  <c r="J15" i="8" s="1"/>
  <c r="L15" i="8" s="1"/>
  <c r="Q36" i="8"/>
  <c r="T36" i="8" s="1"/>
  <c r="V36" i="8" s="1"/>
  <c r="X36" i="8" s="1"/>
  <c r="BA27" i="8"/>
  <c r="BD27" i="8" s="1"/>
  <c r="BF27" i="8" s="1"/>
  <c r="BH27" i="8" s="1"/>
  <c r="P47" i="8"/>
  <c r="P74" i="8" s="1"/>
  <c r="P76" i="8" s="1"/>
  <c r="Q19" i="8"/>
  <c r="T19" i="8" s="1"/>
  <c r="V19" i="8" s="1"/>
  <c r="X19" i="8" s="1"/>
  <c r="BW86" i="8"/>
  <c r="BY83" i="8"/>
  <c r="Q55" i="8"/>
  <c r="T55" i="8" s="1"/>
  <c r="V55" i="8" s="1"/>
  <c r="X55" i="8" s="1"/>
  <c r="C21" i="8"/>
  <c r="C39" i="8" s="1"/>
  <c r="E22" i="8"/>
  <c r="H22" i="8" s="1"/>
  <c r="J22" i="8" s="1"/>
  <c r="L22" i="8" s="1"/>
  <c r="BM36" i="8"/>
  <c r="BP36" i="8" s="1"/>
  <c r="BR36" i="8" s="1"/>
  <c r="BT36" i="8" s="1"/>
  <c r="BY84" i="8"/>
  <c r="CB84" i="8" s="1"/>
  <c r="CD84" i="8" s="1"/>
  <c r="CF84" i="8" s="1"/>
  <c r="BY18" i="8"/>
  <c r="CB18" i="8" s="1"/>
  <c r="CD18" i="8" s="1"/>
  <c r="CF18" i="8" s="1"/>
  <c r="Q73" i="8"/>
  <c r="T73" i="8" s="1"/>
  <c r="V73" i="8" s="1"/>
  <c r="X73" i="8" s="1"/>
  <c r="M11" i="4"/>
  <c r="M13" i="4" s="1"/>
  <c r="E30" i="4" s="1"/>
  <c r="Q14" i="8"/>
  <c r="T14" i="8" s="1"/>
  <c r="V14" i="8" s="1"/>
  <c r="X14" i="8" s="1"/>
  <c r="BY55" i="8"/>
  <c r="CB55" i="8" s="1"/>
  <c r="CD55" i="8" s="1"/>
  <c r="CF55" i="8" s="1"/>
  <c r="E61" i="8"/>
  <c r="H61" i="8" s="1"/>
  <c r="J61" i="8" s="1"/>
  <c r="L61" i="8" s="1"/>
  <c r="E20" i="8"/>
  <c r="H20" i="8" s="1"/>
  <c r="J20" i="8" s="1"/>
  <c r="L20" i="8" s="1"/>
  <c r="BW21" i="8"/>
  <c r="BY22" i="8"/>
  <c r="CB22" i="8" s="1"/>
  <c r="CD22" i="8" s="1"/>
  <c r="CF22" i="8" s="1"/>
  <c r="E63" i="8"/>
  <c r="Q37" i="8"/>
  <c r="T37" i="8" s="1"/>
  <c r="V37" i="8" s="1"/>
  <c r="X37" i="8" s="1"/>
  <c r="BA56" i="8"/>
  <c r="BD56" i="8" s="1"/>
  <c r="BF56" i="8" s="1"/>
  <c r="BH56" i="8" s="1"/>
  <c r="Q51" i="8"/>
  <c r="T51" i="8" s="1"/>
  <c r="V51" i="8" s="1"/>
  <c r="X51" i="8" s="1"/>
  <c r="BY37" i="8"/>
  <c r="CB37" i="8" s="1"/>
  <c r="CD37" i="8" s="1"/>
  <c r="CF37" i="8" s="1"/>
  <c r="BY48" i="8"/>
  <c r="CB48" i="8" s="1"/>
  <c r="CD48" i="8" s="1"/>
  <c r="CF48" i="8" s="1"/>
  <c r="BW47" i="8"/>
  <c r="BW74" i="8" s="1"/>
  <c r="BL21" i="8"/>
  <c r="BL39" i="8" s="1"/>
  <c r="E49" i="8"/>
  <c r="H49" i="8" s="1"/>
  <c r="J49" i="8" s="1"/>
  <c r="L49" i="8" s="1"/>
  <c r="Q79" i="8"/>
  <c r="T79" i="8" s="1"/>
  <c r="V79" i="8" s="1"/>
  <c r="X79" i="8" s="1"/>
  <c r="X81" i="8" s="1"/>
  <c r="BA46" i="8"/>
  <c r="BD46" i="8" s="1"/>
  <c r="BF46" i="8" s="1"/>
  <c r="BH46" i="8" s="1"/>
  <c r="BM49" i="8"/>
  <c r="BA78" i="8"/>
  <c r="AY81" i="8"/>
  <c r="BM57" i="8"/>
  <c r="BP57" i="8" s="1"/>
  <c r="BR57" i="8" s="1"/>
  <c r="BT57" i="8" s="1"/>
  <c r="BY58" i="8"/>
  <c r="CB58" i="8" s="1"/>
  <c r="CD58" i="8" s="1"/>
  <c r="CF58" i="8" s="1"/>
  <c r="BM16" i="8"/>
  <c r="BP16" i="8" s="1"/>
  <c r="BR16" i="8" s="1"/>
  <c r="BT16" i="8" s="1"/>
  <c r="BM32" i="8"/>
  <c r="BP32" i="8" s="1"/>
  <c r="BR32" i="8" s="1"/>
  <c r="BT32" i="8" s="1"/>
  <c r="E55" i="8"/>
  <c r="H55" i="8" s="1"/>
  <c r="J55" i="8" s="1"/>
  <c r="L55" i="8" s="1"/>
  <c r="BA38" i="8"/>
  <c r="BD38" i="8" s="1"/>
  <c r="BF38" i="8" s="1"/>
  <c r="BH38" i="8" s="1"/>
  <c r="Q44" i="8"/>
  <c r="T44" i="8" s="1"/>
  <c r="V44" i="8" s="1"/>
  <c r="X44" i="8" s="1"/>
  <c r="Q58" i="8"/>
  <c r="T58" i="8" s="1"/>
  <c r="V58" i="8" s="1"/>
  <c r="X58" i="8" s="1"/>
  <c r="E53" i="8"/>
  <c r="H53" i="8" s="1"/>
  <c r="J53" i="8" s="1"/>
  <c r="L53" i="8" s="1"/>
  <c r="E35" i="8"/>
  <c r="H35" i="8" s="1"/>
  <c r="J35" i="8" s="1"/>
  <c r="L35" i="8" s="1"/>
  <c r="BM64" i="8"/>
  <c r="BA73" i="8"/>
  <c r="BD73" i="8" s="1"/>
  <c r="BF73" i="8" s="1"/>
  <c r="BH73" i="8" s="1"/>
  <c r="Q46" i="8"/>
  <c r="T46" i="8" s="1"/>
  <c r="V46" i="8" s="1"/>
  <c r="X46" i="8" s="1"/>
  <c r="BY54" i="8"/>
  <c r="CB54" i="8" s="1"/>
  <c r="CD54" i="8" s="1"/>
  <c r="CF54" i="8" s="1"/>
  <c r="BA80" i="8"/>
  <c r="BD80" i="8" s="1"/>
  <c r="BF80" i="8" s="1"/>
  <c r="BH80" i="8" s="1"/>
  <c r="BA60" i="8"/>
  <c r="BD60" i="8" s="1"/>
  <c r="BF60" i="8" s="1"/>
  <c r="BH60" i="8" s="1"/>
  <c r="BM43" i="8"/>
  <c r="BP43" i="8" s="1"/>
  <c r="BR43" i="8" s="1"/>
  <c r="BT43" i="8" s="1"/>
  <c r="BY61" i="8"/>
  <c r="CB61" i="8" s="1"/>
  <c r="CD61" i="8" s="1"/>
  <c r="CF61" i="8" s="1"/>
  <c r="Q80" i="8"/>
  <c r="T80" i="8" s="1"/>
  <c r="V80" i="8" s="1"/>
  <c r="X80" i="8" s="1"/>
  <c r="BM28" i="8"/>
  <c r="BP28" i="8" s="1"/>
  <c r="BR28" i="8" s="1"/>
  <c r="BT28" i="8" s="1"/>
  <c r="BA53" i="8"/>
  <c r="BD53" i="8" s="1"/>
  <c r="BF53" i="8" s="1"/>
  <c r="BH53" i="8" s="1"/>
  <c r="E45" i="8"/>
  <c r="H45" i="8" s="1"/>
  <c r="J45" i="8" s="1"/>
  <c r="L45" i="8" s="1"/>
  <c r="BY31" i="8"/>
  <c r="CB31" i="8" s="1"/>
  <c r="CD31" i="8" s="1"/>
  <c r="CF31" i="8" s="1"/>
  <c r="BM59" i="8"/>
  <c r="BP59" i="8" s="1"/>
  <c r="BR59" i="8" s="1"/>
  <c r="BT59" i="8" s="1"/>
  <c r="E66" i="8"/>
  <c r="H66" i="8" s="1"/>
  <c r="J66" i="8" s="1"/>
  <c r="L66" i="8" s="1"/>
  <c r="BM45" i="8"/>
  <c r="BP45" i="8" s="1"/>
  <c r="BR45" i="8" s="1"/>
  <c r="BT45" i="8" s="1"/>
  <c r="BY20" i="8"/>
  <c r="CB20" i="8" s="1"/>
  <c r="CD20" i="8" s="1"/>
  <c r="CF20" i="8" s="1"/>
  <c r="BA13" i="8"/>
  <c r="BD13" i="8" s="1"/>
  <c r="BF13" i="8" s="1"/>
  <c r="BH13" i="8" s="1"/>
  <c r="BM33" i="8"/>
  <c r="BP33" i="8" s="1"/>
  <c r="BR33" i="8" s="1"/>
  <c r="BT33" i="8" s="1"/>
  <c r="E37" i="8"/>
  <c r="H37" i="8" s="1"/>
  <c r="J37" i="8" s="1"/>
  <c r="L37" i="8" s="1"/>
  <c r="Q17" i="8"/>
  <c r="T17" i="8" s="1"/>
  <c r="V17" i="8" s="1"/>
  <c r="X17" i="8" s="1"/>
  <c r="BA50" i="8"/>
  <c r="BD50" i="8" s="1"/>
  <c r="BF50" i="8" s="1"/>
  <c r="BH50" i="8" s="1"/>
  <c r="AZ47" i="8"/>
  <c r="AZ74" i="8" s="1"/>
  <c r="BA28" i="8"/>
  <c r="BD28" i="8" s="1"/>
  <c r="BF28" i="8" s="1"/>
  <c r="BH28" i="8" s="1"/>
  <c r="Q66" i="8"/>
  <c r="T66" i="8" s="1"/>
  <c r="BA20" i="8"/>
  <c r="BD20" i="8" s="1"/>
  <c r="BF20" i="8" s="1"/>
  <c r="BH20" i="8" s="1"/>
  <c r="BA61" i="8"/>
  <c r="BD61" i="8" s="1"/>
  <c r="BF61" i="8" s="1"/>
  <c r="BH61" i="8" s="1"/>
  <c r="BM53" i="8"/>
  <c r="BP53" i="8" s="1"/>
  <c r="BR53" i="8" s="1"/>
  <c r="BT53" i="8" s="1"/>
  <c r="BY30" i="8"/>
  <c r="CB30" i="8" s="1"/>
  <c r="CD30" i="8" s="1"/>
  <c r="CF30" i="8" s="1"/>
  <c r="Q28" i="8"/>
  <c r="T28" i="8" s="1"/>
  <c r="V28" i="8" s="1"/>
  <c r="X28" i="8" s="1"/>
  <c r="Q42" i="8"/>
  <c r="T42" i="8" s="1"/>
  <c r="Q68" i="8"/>
  <c r="T68" i="8" s="1"/>
  <c r="V68" i="8" s="1"/>
  <c r="X68" i="8" s="1"/>
  <c r="Q56" i="8"/>
  <c r="T56" i="8" s="1"/>
  <c r="V56" i="8" s="1"/>
  <c r="X56" i="8" s="1"/>
  <c r="Q69" i="8"/>
  <c r="T69" i="8" s="1"/>
  <c r="V69" i="8" s="1"/>
  <c r="X69" i="8" s="1"/>
  <c r="Q15" i="8"/>
  <c r="BY56" i="8"/>
  <c r="CB56" i="8" s="1"/>
  <c r="CD56" i="8" s="1"/>
  <c r="CF56" i="8" s="1"/>
  <c r="BA29" i="8"/>
  <c r="BD29" i="8" s="1"/>
  <c r="BF29" i="8" s="1"/>
  <c r="BH29" i="8" s="1"/>
  <c r="Q16" i="8"/>
  <c r="T16" i="8" s="1"/>
  <c r="V16" i="8" s="1"/>
  <c r="X16" i="8" s="1"/>
  <c r="BY23" i="8"/>
  <c r="CB23" i="8" s="1"/>
  <c r="CD23" i="8" s="1"/>
  <c r="CF23" i="8" s="1"/>
  <c r="BA24" i="8"/>
  <c r="BD24" i="8" s="1"/>
  <c r="BF24" i="8" s="1"/>
  <c r="BH24" i="8" s="1"/>
  <c r="D47" i="8"/>
  <c r="D74" i="8" s="1"/>
  <c r="BY24" i="8"/>
  <c r="CB24" i="8" s="1"/>
  <c r="CD24" i="8" s="1"/>
  <c r="CF24" i="8" s="1"/>
  <c r="BA85" i="8"/>
  <c r="BD85" i="8" s="1"/>
  <c r="BF85" i="8" s="1"/>
  <c r="BH85" i="8" s="1"/>
  <c r="BM51" i="8"/>
  <c r="BP51" i="8" s="1"/>
  <c r="BR51" i="8" s="1"/>
  <c r="BT51" i="8" s="1"/>
  <c r="BM26" i="8"/>
  <c r="BP26" i="8" s="1"/>
  <c r="BR26" i="8" s="1"/>
  <c r="BT26" i="8" s="1"/>
  <c r="BM71" i="8"/>
  <c r="BP71" i="8" s="1"/>
  <c r="BR71" i="8" s="1"/>
  <c r="BT71" i="8" s="1"/>
  <c r="BM15" i="8"/>
  <c r="BP15" i="8" s="1"/>
  <c r="BR15" i="8" s="1"/>
  <c r="BT15" i="8" s="1"/>
  <c r="W30" i="4" s="1"/>
  <c r="BM44" i="8"/>
  <c r="BP44" i="8" s="1"/>
  <c r="BR44" i="8" s="1"/>
  <c r="BT44" i="8" s="1"/>
  <c r="E34" i="8"/>
  <c r="H34" i="8" s="1"/>
  <c r="J34" i="8" s="1"/>
  <c r="L34" i="8" s="1"/>
  <c r="E79" i="8"/>
  <c r="H79" i="8" s="1"/>
  <c r="J79" i="8" s="1"/>
  <c r="L79" i="8" s="1"/>
  <c r="BA71" i="8"/>
  <c r="BD71" i="8" s="1"/>
  <c r="BF71" i="8" s="1"/>
  <c r="BH71" i="8" s="1"/>
  <c r="E32" i="8"/>
  <c r="H32" i="8" s="1"/>
  <c r="J32" i="8" s="1"/>
  <c r="L32" i="8" s="1"/>
  <c r="BA17" i="8"/>
  <c r="BD17" i="8" s="1"/>
  <c r="BF17" i="8" s="1"/>
  <c r="BH17" i="8" s="1"/>
  <c r="Q59" i="8"/>
  <c r="T59" i="8" s="1"/>
  <c r="V59" i="8" s="1"/>
  <c r="X59" i="8" s="1"/>
  <c r="BA58" i="8"/>
  <c r="BD58" i="8" s="1"/>
  <c r="BF58" i="8" s="1"/>
  <c r="BH58" i="8" s="1"/>
  <c r="Q27" i="8"/>
  <c r="T27" i="8" s="1"/>
  <c r="V27" i="8" s="1"/>
  <c r="X27" i="8" s="1"/>
  <c r="E19" i="8"/>
  <c r="H19" i="8" s="1"/>
  <c r="J19" i="8" s="1"/>
  <c r="L19" i="8" s="1"/>
  <c r="BY73" i="8"/>
  <c r="CB73" i="8" s="1"/>
  <c r="CD73" i="8" s="1"/>
  <c r="CF73" i="8" s="1"/>
  <c r="E70" i="8"/>
  <c r="H70" i="8" s="1"/>
  <c r="J70" i="8" s="1"/>
  <c r="L70" i="8" s="1"/>
  <c r="Q43" i="8"/>
  <c r="BA65" i="8"/>
  <c r="BD65" i="8" s="1"/>
  <c r="BF65" i="8" s="1"/>
  <c r="BH65" i="8" s="1"/>
  <c r="Q57" i="8"/>
  <c r="T57" i="8" s="1"/>
  <c r="V57" i="8" s="1"/>
  <c r="X57" i="8" s="1"/>
  <c r="BY68" i="8"/>
  <c r="CB68" i="8" s="1"/>
  <c r="CD68" i="8" s="1"/>
  <c r="CF68" i="8" s="1"/>
  <c r="E56" i="8"/>
  <c r="H56" i="8" s="1"/>
  <c r="J56" i="8" s="1"/>
  <c r="L56" i="8" s="1"/>
  <c r="BY60" i="8"/>
  <c r="CB60" i="8" s="1"/>
  <c r="CD60" i="8" s="1"/>
  <c r="CF60" i="8" s="1"/>
  <c r="BA26" i="8"/>
  <c r="BD26" i="8" s="1"/>
  <c r="BF26" i="8" s="1"/>
  <c r="BH26" i="8" s="1"/>
  <c r="E54" i="8"/>
  <c r="H54" i="8" s="1"/>
  <c r="J54" i="8" s="1"/>
  <c r="L54" i="8" s="1"/>
  <c r="BY28" i="8"/>
  <c r="CB28" i="8" s="1"/>
  <c r="CD28" i="8" s="1"/>
  <c r="CF28" i="8" s="1"/>
  <c r="D81" i="8"/>
  <c r="Q70" i="8"/>
  <c r="T70" i="8" s="1"/>
  <c r="V70" i="8" s="1"/>
  <c r="X70" i="8" s="1"/>
  <c r="E25" i="8"/>
  <c r="H25" i="8" s="1"/>
  <c r="J25" i="8" s="1"/>
  <c r="L25" i="8" s="1"/>
  <c r="BA36" i="8"/>
  <c r="BD36" i="8" s="1"/>
  <c r="BF36" i="8" s="1"/>
  <c r="BH36" i="8" s="1"/>
  <c r="BA23" i="8"/>
  <c r="BD23" i="8" s="1"/>
  <c r="BF23" i="8" s="1"/>
  <c r="BH23" i="8" s="1"/>
  <c r="AY21" i="8"/>
  <c r="E26" i="8"/>
  <c r="H26" i="8" s="1"/>
  <c r="J26" i="8" s="1"/>
  <c r="L26" i="8" s="1"/>
  <c r="BA18" i="8"/>
  <c r="BD18" i="8" s="1"/>
  <c r="BF18" i="8" s="1"/>
  <c r="BH18" i="8" s="1"/>
  <c r="BA41" i="8"/>
  <c r="BD41" i="8" s="1"/>
  <c r="BF41" i="8" s="1"/>
  <c r="BH41" i="8" s="1"/>
  <c r="BY36" i="8"/>
  <c r="CB36" i="8" s="1"/>
  <c r="CD36" i="8" s="1"/>
  <c r="CF36" i="8" s="1"/>
  <c r="E73" i="8"/>
  <c r="H73" i="8" s="1"/>
  <c r="J73" i="8" s="1"/>
  <c r="L73" i="8" s="1"/>
  <c r="BA55" i="8"/>
  <c r="BD55" i="8" s="1"/>
  <c r="BF55" i="8" s="1"/>
  <c r="BH55" i="8" s="1"/>
  <c r="BA62" i="8"/>
  <c r="BD62" i="8" s="1"/>
  <c r="BF62" i="8" s="1"/>
  <c r="BH62" i="8" s="1"/>
  <c r="BA37" i="8"/>
  <c r="BD37" i="8" s="1"/>
  <c r="BY63" i="8"/>
  <c r="E58" i="8"/>
  <c r="H58" i="8" s="1"/>
  <c r="J58" i="8" s="1"/>
  <c r="L58" i="8" s="1"/>
  <c r="BM30" i="8"/>
  <c r="BP30" i="8" s="1"/>
  <c r="BR30" i="8" s="1"/>
  <c r="BT30" i="8" s="1"/>
  <c r="E24" i="8"/>
  <c r="H24" i="8" s="1"/>
  <c r="J24" i="8" s="1"/>
  <c r="L24" i="8" s="1"/>
  <c r="BM29" i="8"/>
  <c r="BP29" i="8" s="1"/>
  <c r="BR29" i="8" s="1"/>
  <c r="BT29" i="8" s="1"/>
  <c r="Q60" i="8"/>
  <c r="T60" i="8" s="1"/>
  <c r="V60" i="8" s="1"/>
  <c r="X60" i="8" s="1"/>
  <c r="BY46" i="8"/>
  <c r="CB46" i="8" s="1"/>
  <c r="CD46" i="8" s="1"/>
  <c r="CF46" i="8" s="1"/>
  <c r="Q31" i="8"/>
  <c r="T31" i="8" s="1"/>
  <c r="V31" i="8" s="1"/>
  <c r="X31" i="8" s="1"/>
  <c r="BM56" i="8"/>
  <c r="E68" i="8"/>
  <c r="H68" i="8" s="1"/>
  <c r="J68" i="8" s="1"/>
  <c r="L68" i="8" s="1"/>
  <c r="BY66" i="8"/>
  <c r="E85" i="8"/>
  <c r="H85" i="8" s="1"/>
  <c r="J85" i="8" s="1"/>
  <c r="L85" i="8" s="1"/>
  <c r="BY80" i="8"/>
  <c r="CB80" i="8" s="1"/>
  <c r="CD80" i="8" s="1"/>
  <c r="CF80" i="8" s="1"/>
  <c r="BA25" i="8"/>
  <c r="BD25" i="8" s="1"/>
  <c r="BF25" i="8" s="1"/>
  <c r="BH25" i="8" s="1"/>
  <c r="BM46" i="8"/>
  <c r="BP46" i="8" s="1"/>
  <c r="BR46" i="8" s="1"/>
  <c r="BT46" i="8" s="1"/>
  <c r="E29" i="8"/>
  <c r="H29" i="8" s="1"/>
  <c r="J29" i="8" s="1"/>
  <c r="L29" i="8" s="1"/>
  <c r="E50" i="8"/>
  <c r="H50" i="8" s="1"/>
  <c r="J50" i="8" s="1"/>
  <c r="L50" i="8" s="1"/>
  <c r="AZ86" i="8"/>
  <c r="BM54" i="8"/>
  <c r="BP54" i="8" s="1"/>
  <c r="BR54" i="8" s="1"/>
  <c r="BT54" i="8" s="1"/>
  <c r="BA68" i="8"/>
  <c r="BD68" i="8" s="1"/>
  <c r="BF68" i="8" s="1"/>
  <c r="BH68" i="8" s="1"/>
  <c r="Q45" i="8"/>
  <c r="T45" i="8" s="1"/>
  <c r="V45" i="8" s="1"/>
  <c r="X45" i="8" s="1"/>
  <c r="BM66" i="8"/>
  <c r="BP66" i="8" s="1"/>
  <c r="BR66" i="8" s="1"/>
  <c r="BT66" i="8" s="1"/>
  <c r="BM23" i="8"/>
  <c r="BP23" i="8" s="1"/>
  <c r="BR23" i="8" s="1"/>
  <c r="BT23" i="8" s="1"/>
  <c r="BM25" i="8"/>
  <c r="BP25" i="8" s="1"/>
  <c r="BR25" i="8" s="1"/>
  <c r="BT25" i="8" s="1"/>
  <c r="BA33" i="8"/>
  <c r="BD33" i="8" s="1"/>
  <c r="BF33" i="8" s="1"/>
  <c r="BH33" i="8" s="1"/>
  <c r="O47" i="8"/>
  <c r="O74" i="8" s="1"/>
  <c r="Q48" i="8"/>
  <c r="T48" i="8" s="1"/>
  <c r="V48" i="8" s="1"/>
  <c r="X48" i="8" s="1"/>
  <c r="BY38" i="8"/>
  <c r="CB38" i="8" s="1"/>
  <c r="CD38" i="8" s="1"/>
  <c r="CF38" i="8" s="1"/>
  <c r="BX47" i="8"/>
  <c r="BX74" i="8" s="1"/>
  <c r="E43" i="8"/>
  <c r="H43" i="8" s="1"/>
  <c r="J43" i="8" s="1"/>
  <c r="L43" i="8" s="1"/>
  <c r="BY14" i="8"/>
  <c r="CB14" i="8" s="1"/>
  <c r="CD14" i="8" s="1"/>
  <c r="CF14" i="8" s="1"/>
  <c r="BA84" i="8"/>
  <c r="BD84" i="8" s="1"/>
  <c r="BF84" i="8" s="1"/>
  <c r="BH84" i="8" s="1"/>
  <c r="BL47" i="8"/>
  <c r="BL74" i="8" s="1"/>
  <c r="BL76" i="8" s="1"/>
  <c r="E42" i="8"/>
  <c r="H42" i="8" s="1"/>
  <c r="J42" i="8" s="1"/>
  <c r="L42" i="8" s="1"/>
  <c r="BY51" i="8"/>
  <c r="CB51" i="8" s="1"/>
  <c r="CD51" i="8" s="1"/>
  <c r="CF51" i="8" s="1"/>
  <c r="BM85" i="8"/>
  <c r="BP85" i="8" s="1"/>
  <c r="BR85" i="8" s="1"/>
  <c r="BT85" i="8" s="1"/>
  <c r="BM52" i="8"/>
  <c r="BP52" i="8" s="1"/>
  <c r="BR52" i="8" s="1"/>
  <c r="BT52" i="8" s="1"/>
  <c r="BA31" i="8"/>
  <c r="BD31" i="8" s="1"/>
  <c r="BF31" i="8" s="1"/>
  <c r="BH31" i="8" s="1"/>
  <c r="Q29" i="8"/>
  <c r="T29" i="8" s="1"/>
  <c r="V29" i="8" s="1"/>
  <c r="X29" i="8" s="1"/>
  <c r="BY62" i="8"/>
  <c r="CB62" i="8" s="1"/>
  <c r="CD62" i="8" s="1"/>
  <c r="CF62" i="8" s="1"/>
  <c r="BM50" i="8"/>
  <c r="BP50" i="8" s="1"/>
  <c r="BR50" i="8" s="1"/>
  <c r="BT50" i="8" s="1"/>
  <c r="BK47" i="8"/>
  <c r="BK74" i="8" s="1"/>
  <c r="BM48" i="8"/>
  <c r="BP48" i="8" s="1"/>
  <c r="BR48" i="8" s="1"/>
  <c r="BT48" i="8" s="1"/>
  <c r="BX81" i="8"/>
  <c r="BX88" i="8" s="1"/>
  <c r="BY78" i="8"/>
  <c r="BW81" i="8"/>
  <c r="BY29" i="8"/>
  <c r="CB29" i="8" s="1"/>
  <c r="CD29" i="8" s="1"/>
  <c r="CF29" i="8" s="1"/>
  <c r="BA49" i="8"/>
  <c r="BD49" i="8" s="1"/>
  <c r="BF49" i="8" s="1"/>
  <c r="BH49" i="8" s="1"/>
  <c r="E36" i="8"/>
  <c r="H36" i="8" s="1"/>
  <c r="J36" i="8" s="1"/>
  <c r="L36" i="8" s="1"/>
  <c r="BM67" i="8"/>
  <c r="BP67" i="8" s="1"/>
  <c r="BR67" i="8" s="1"/>
  <c r="BT67" i="8" s="1"/>
  <c r="BY26" i="8"/>
  <c r="CB26" i="8" s="1"/>
  <c r="CD26" i="8" s="1"/>
  <c r="CF26" i="8" s="1"/>
  <c r="BY70" i="8"/>
  <c r="CB70" i="8" s="1"/>
  <c r="CD70" i="8" s="1"/>
  <c r="CF70" i="8" s="1"/>
  <c r="E64" i="8"/>
  <c r="H64" i="8" s="1"/>
  <c r="J64" i="8" s="1"/>
  <c r="L64" i="8" s="1"/>
  <c r="E31" i="8"/>
  <c r="H31" i="8" s="1"/>
  <c r="J31" i="8" s="1"/>
  <c r="L31" i="8" s="1"/>
  <c r="BM14" i="8"/>
  <c r="BP14" i="8" s="1"/>
  <c r="BR14" i="8" s="1"/>
  <c r="BT14" i="8" s="1"/>
  <c r="BM37" i="8"/>
  <c r="BP37" i="8" s="1"/>
  <c r="BR37" i="8" s="1"/>
  <c r="BT37" i="8" s="1"/>
  <c r="BY85" i="8"/>
  <c r="CB85" i="8" s="1"/>
  <c r="CD85" i="8" s="1"/>
  <c r="CF85" i="8" s="1"/>
  <c r="BM73" i="8"/>
  <c r="BP73" i="8" s="1"/>
  <c r="BR73" i="8" s="1"/>
  <c r="BT73" i="8" s="1"/>
  <c r="BL81" i="8"/>
  <c r="BM68" i="8"/>
  <c r="BP68" i="8" s="1"/>
  <c r="BR68" i="8" s="1"/>
  <c r="BT68" i="8" s="1"/>
  <c r="BM70" i="8"/>
  <c r="BP70" i="8" s="1"/>
  <c r="BR70" i="8" s="1"/>
  <c r="BT70" i="8" s="1"/>
  <c r="BA51" i="8"/>
  <c r="BD51" i="8" s="1"/>
  <c r="BF51" i="8" s="1"/>
  <c r="BH51" i="8" s="1"/>
  <c r="BY13" i="8"/>
  <c r="CB13" i="8" s="1"/>
  <c r="CD13" i="8" s="1"/>
  <c r="CF13" i="8" s="1"/>
  <c r="AY47" i="8"/>
  <c r="AY74" i="8" s="1"/>
  <c r="BA48" i="8"/>
  <c r="BD48" i="8" s="1"/>
  <c r="BF48" i="8" s="1"/>
  <c r="BH48" i="8" s="1"/>
  <c r="BA54" i="8"/>
  <c r="BD54" i="8" s="1"/>
  <c r="BF54" i="8" s="1"/>
  <c r="BH54" i="8" s="1"/>
  <c r="BM18" i="8"/>
  <c r="BP18" i="8" s="1"/>
  <c r="BR18" i="8" s="1"/>
  <c r="BT18" i="8" s="1"/>
  <c r="BM80" i="8"/>
  <c r="BP80" i="8" s="1"/>
  <c r="BR80" i="8" s="1"/>
  <c r="BT80" i="8" s="1"/>
  <c r="E80" i="8"/>
  <c r="H80" i="8" s="1"/>
  <c r="J80" i="8" s="1"/>
  <c r="L80" i="8" s="1"/>
  <c r="E60" i="8"/>
  <c r="H60" i="8" s="1"/>
  <c r="J60" i="8" s="1"/>
  <c r="L60" i="8" s="1"/>
  <c r="BA63" i="8"/>
  <c r="Q23" i="8"/>
  <c r="T23" i="8" s="1"/>
  <c r="V23" i="8" s="1"/>
  <c r="X23" i="8" s="1"/>
  <c r="BY27" i="8"/>
  <c r="CB27" i="8" s="1"/>
  <c r="CD27" i="8" s="1"/>
  <c r="CF27" i="8" s="1"/>
  <c r="BM62" i="8"/>
  <c r="BP62" i="8" s="1"/>
  <c r="BR62" i="8" s="1"/>
  <c r="BT62" i="8" s="1"/>
  <c r="Q84" i="8"/>
  <c r="T84" i="8" s="1"/>
  <c r="V84" i="8" s="1"/>
  <c r="X84" i="8" s="1"/>
  <c r="P86" i="8"/>
  <c r="Q54" i="8"/>
  <c r="T54" i="8" s="1"/>
  <c r="V54" i="8" s="1"/>
  <c r="X54" i="8" s="1"/>
  <c r="AZ21" i="8"/>
  <c r="E67" i="8"/>
  <c r="H67" i="8" s="1"/>
  <c r="J67" i="8" s="1"/>
  <c r="L67" i="8" s="1"/>
  <c r="Q71" i="8"/>
  <c r="T71" i="8" s="1"/>
  <c r="V71" i="8" s="1"/>
  <c r="X71" i="8" s="1"/>
  <c r="Q24" i="8"/>
  <c r="T24" i="8" s="1"/>
  <c r="V24" i="8" s="1"/>
  <c r="X24" i="8" s="1"/>
  <c r="BM79" i="8"/>
  <c r="BP79" i="8" s="1"/>
  <c r="BR79" i="8" s="1"/>
  <c r="BT79" i="8" s="1"/>
  <c r="Q26" i="8"/>
  <c r="T26" i="8" s="1"/>
  <c r="V26" i="8" s="1"/>
  <c r="X26" i="8" s="1"/>
  <c r="E18" i="8"/>
  <c r="H18" i="8" s="1"/>
  <c r="J18" i="8" s="1"/>
  <c r="L18" i="8" s="1"/>
  <c r="BY65" i="8"/>
  <c r="CB65" i="8" s="1"/>
  <c r="CD65" i="8" s="1"/>
  <c r="CF65" i="8" s="1"/>
  <c r="BY59" i="8"/>
  <c r="CB59" i="8" s="1"/>
  <c r="CD59" i="8" s="1"/>
  <c r="CF59" i="8" s="1"/>
  <c r="E51" i="8"/>
  <c r="H51" i="8" s="1"/>
  <c r="J51" i="8" s="1"/>
  <c r="L51" i="8" s="1"/>
  <c r="BM17" i="8"/>
  <c r="BP17" i="8" s="1"/>
  <c r="BR17" i="8" s="1"/>
  <c r="BT17" i="8" s="1"/>
  <c r="BY25" i="8"/>
  <c r="CB25" i="8" s="1"/>
  <c r="CD25" i="8" s="1"/>
  <c r="CF25" i="8" s="1"/>
  <c r="BM31" i="8"/>
  <c r="BP31" i="8" s="1"/>
  <c r="BR31" i="8" s="1"/>
  <c r="BT31" i="8" s="1"/>
  <c r="E23" i="8"/>
  <c r="H23" i="8" s="1"/>
  <c r="J23" i="8" s="1"/>
  <c r="L23" i="8" s="1"/>
  <c r="BA32" i="8"/>
  <c r="BD32" i="8" s="1"/>
  <c r="BF32" i="8" s="1"/>
  <c r="BH32" i="8" s="1"/>
  <c r="BA45" i="8"/>
  <c r="BD45" i="8" s="1"/>
  <c r="BF45" i="8" s="1"/>
  <c r="BH45" i="8" s="1"/>
  <c r="E52" i="8"/>
  <c r="H52" i="8" s="1"/>
  <c r="J52" i="8" s="1"/>
  <c r="L52" i="8" s="1"/>
  <c r="AZ81" i="8"/>
  <c r="AZ88" i="8" s="1"/>
  <c r="Q64" i="8"/>
  <c r="T64" i="8" s="1"/>
  <c r="V64" i="8" s="1"/>
  <c r="X64" i="8" s="1"/>
  <c r="E41" i="8"/>
  <c r="H41" i="8" s="1"/>
  <c r="J41" i="8" s="1"/>
  <c r="BA67" i="8"/>
  <c r="BD67" i="8" s="1"/>
  <c r="BF67" i="8" s="1"/>
  <c r="BH67" i="8" s="1"/>
  <c r="Q62" i="8"/>
  <c r="T62" i="8" s="1"/>
  <c r="V62" i="8" s="1"/>
  <c r="X62" i="8" s="1"/>
  <c r="BM55" i="8"/>
  <c r="BP55" i="8" s="1"/>
  <c r="BR55" i="8" s="1"/>
  <c r="BT55" i="8" s="1"/>
  <c r="BY32" i="8"/>
  <c r="CB32" i="8" s="1"/>
  <c r="CD32" i="8" s="1"/>
  <c r="CF32" i="8" s="1"/>
  <c r="BA35" i="8"/>
  <c r="BD35" i="8" s="1"/>
  <c r="BF35" i="8" s="1"/>
  <c r="BH35" i="8" s="1"/>
  <c r="BA66" i="8"/>
  <c r="BD66" i="8" s="1"/>
  <c r="BF66" i="8" s="1"/>
  <c r="BH66" i="8" s="1"/>
  <c r="P81" i="8"/>
  <c r="BY43" i="8"/>
  <c r="CB43" i="8" s="1"/>
  <c r="E28" i="8"/>
  <c r="H28" i="8" s="1"/>
  <c r="J28" i="8" s="1"/>
  <c r="L28" i="8" s="1"/>
  <c r="C86" i="8"/>
  <c r="C88" i="8" s="1"/>
  <c r="E83" i="8"/>
  <c r="H83" i="8" s="1"/>
  <c r="E71" i="8"/>
  <c r="H71" i="8" s="1"/>
  <c r="J71" i="8" s="1"/>
  <c r="L71" i="8" s="1"/>
  <c r="BA42" i="8"/>
  <c r="BD42" i="8" s="1"/>
  <c r="BF42" i="8" s="1"/>
  <c r="BH42" i="8" s="1"/>
  <c r="BM65" i="8"/>
  <c r="BP65" i="8" s="1"/>
  <c r="BR65" i="8" s="1"/>
  <c r="BT65" i="8" s="1"/>
  <c r="BY35" i="8"/>
  <c r="CB35" i="8" s="1"/>
  <c r="CD35" i="8" s="1"/>
  <c r="CF35" i="8" s="1"/>
  <c r="E65" i="8"/>
  <c r="H65" i="8" s="1"/>
  <c r="J65" i="8" s="1"/>
  <c r="L65" i="8" s="1"/>
  <c r="BM61" i="8"/>
  <c r="BP61" i="8" s="1"/>
  <c r="BR61" i="8" s="1"/>
  <c r="BT61" i="8" s="1"/>
  <c r="AP86" i="8"/>
  <c r="AP81" i="8"/>
  <c r="AP39" i="8"/>
  <c r="AP74" i="8"/>
  <c r="BM86" i="8"/>
  <c r="E86" i="8"/>
  <c r="BL88" i="8"/>
  <c r="DG16" i="8"/>
  <c r="DK16" i="8" s="1"/>
  <c r="DG22" i="8"/>
  <c r="DG26" i="8"/>
  <c r="DG32" i="8"/>
  <c r="DG19" i="8"/>
  <c r="DK19" i="8" s="1"/>
  <c r="DG36" i="8"/>
  <c r="DG14" i="8"/>
  <c r="DK14" i="8" s="1"/>
  <c r="DG33" i="8"/>
  <c r="DG31" i="8"/>
  <c r="DG27" i="8"/>
  <c r="DG18" i="8"/>
  <c r="DK18" i="8" s="1"/>
  <c r="DI18" i="8"/>
  <c r="DM18" i="8" s="1"/>
  <c r="DG20" i="8"/>
  <c r="DK20" i="8" s="1"/>
  <c r="DG34" i="8"/>
  <c r="DG13" i="8"/>
  <c r="DK13" i="8" s="1"/>
  <c r="M6" i="4" s="1"/>
  <c r="DG23" i="8"/>
  <c r="DI30" i="8"/>
  <c r="DG30" i="8"/>
  <c r="DG35" i="8"/>
  <c r="DG25" i="8"/>
  <c r="DG28" i="8"/>
  <c r="DG17" i="8"/>
  <c r="DK17" i="8" s="1"/>
  <c r="DG29" i="8"/>
  <c r="DG24" i="8"/>
  <c r="BP64" i="8"/>
  <c r="BR64" i="8" s="1"/>
  <c r="BT64" i="8" s="1"/>
  <c r="BP49" i="8"/>
  <c r="BR49" i="8" s="1"/>
  <c r="BT49" i="8" s="1"/>
  <c r="T81" i="8"/>
  <c r="BP56" i="8"/>
  <c r="BR56" i="8" s="1"/>
  <c r="BT56" i="8" s="1"/>
  <c r="J78" i="8"/>
  <c r="BR78" i="8"/>
  <c r="J83" i="8"/>
  <c r="V81" i="8"/>
  <c r="W6" i="4"/>
  <c r="R10" i="12"/>
  <c r="AM64" i="8"/>
  <c r="AN41" i="8"/>
  <c r="AM44" i="8"/>
  <c r="AN68" i="8"/>
  <c r="G15" i="7"/>
  <c r="I15" i="7"/>
  <c r="I15" i="1"/>
  <c r="H15" i="6"/>
  <c r="AM66" i="8"/>
  <c r="AN84" i="8"/>
  <c r="AM50" i="8"/>
  <c r="AN71" i="8"/>
  <c r="AN79" i="8"/>
  <c r="AM78" i="8"/>
  <c r="AN57" i="8"/>
  <c r="AN61" i="8"/>
  <c r="BW15" i="8"/>
  <c r="AM70" i="8"/>
  <c r="AN85" i="8"/>
  <c r="AN59" i="8"/>
  <c r="G15" i="6"/>
  <c r="G15" i="1"/>
  <c r="AZ15" i="8"/>
  <c r="AY15" i="8"/>
  <c r="AM85" i="8"/>
  <c r="AM46" i="8"/>
  <c r="AM73" i="8"/>
  <c r="BX15" i="8"/>
  <c r="AM65" i="8"/>
  <c r="AM79" i="8"/>
  <c r="AN73" i="8"/>
  <c r="AM55" i="8"/>
  <c r="AM53" i="8"/>
  <c r="AN52" i="8"/>
  <c r="AM45" i="8"/>
  <c r="AM52" i="8"/>
  <c r="AN67" i="8"/>
  <c r="AN42" i="8"/>
  <c r="AM63" i="8"/>
  <c r="AM42" i="8"/>
  <c r="AM48" i="8"/>
  <c r="AN66" i="8"/>
  <c r="F15" i="7"/>
  <c r="D15" i="6"/>
  <c r="AN80" i="8"/>
  <c r="AM56" i="8"/>
  <c r="AM41" i="8"/>
  <c r="AM80" i="8"/>
  <c r="AM83" i="8"/>
  <c r="AN78" i="8"/>
  <c r="AN43" i="8"/>
  <c r="AN44" i="8"/>
  <c r="F15" i="6"/>
  <c r="AN56" i="8"/>
  <c r="AM43" i="8"/>
  <c r="AN55" i="8"/>
  <c r="AN49" i="8"/>
  <c r="AM58" i="8"/>
  <c r="AN48" i="8"/>
  <c r="AN54" i="8"/>
  <c r="AM51" i="8"/>
  <c r="D15" i="7"/>
  <c r="D15" i="1"/>
  <c r="H15" i="7"/>
  <c r="H15" i="1"/>
  <c r="F15" i="1"/>
  <c r="AM60" i="8"/>
  <c r="AM49" i="8"/>
  <c r="AN83" i="8"/>
  <c r="AM84" i="8"/>
  <c r="AM71" i="8"/>
  <c r="AN45" i="8"/>
  <c r="AN51" i="8"/>
  <c r="AN70" i="8"/>
  <c r="AM68" i="8"/>
  <c r="AM57" i="8"/>
  <c r="AN58" i="8"/>
  <c r="I15" i="6"/>
  <c r="AM62" i="8"/>
  <c r="AN50" i="8"/>
  <c r="AN53" i="8"/>
  <c r="AM67" i="8"/>
  <c r="AN64" i="8"/>
  <c r="AN62" i="8"/>
  <c r="AN63" i="8"/>
  <c r="AM59" i="8"/>
  <c r="AN65" i="8"/>
  <c r="AM61" i="8"/>
  <c r="AN69" i="8"/>
  <c r="AM54" i="8"/>
  <c r="AN46" i="8"/>
  <c r="AN60" i="8"/>
  <c r="AM69" i="8"/>
  <c r="H86" i="8" l="1"/>
  <c r="Q81" i="8"/>
  <c r="DH17" i="8"/>
  <c r="DL17" i="8" s="1"/>
  <c r="M8" i="4"/>
  <c r="DH33" i="8"/>
  <c r="BW88" i="8"/>
  <c r="DI27" i="8"/>
  <c r="C75" i="6"/>
  <c r="C89" i="6" s="1"/>
  <c r="C90" i="6" s="1"/>
  <c r="M49" i="4"/>
  <c r="DI34" i="8"/>
  <c r="DH26" i="8"/>
  <c r="DI23" i="8"/>
  <c r="AE24" i="4"/>
  <c r="N66" i="1"/>
  <c r="E21" i="8"/>
  <c r="H21" i="8" s="1"/>
  <c r="AG16" i="4"/>
  <c r="K14" i="4"/>
  <c r="C31" i="4" s="1"/>
  <c r="Q13" i="12" s="1"/>
  <c r="J8" i="4"/>
  <c r="N48" i="6"/>
  <c r="F87" i="6"/>
  <c r="C87" i="1"/>
  <c r="AE18" i="4"/>
  <c r="E81" i="8"/>
  <c r="E88" i="8" s="1"/>
  <c r="H87" i="1"/>
  <c r="BK76" i="8"/>
  <c r="AG17" i="4"/>
  <c r="L85" i="6"/>
  <c r="DH16" i="8"/>
  <c r="DL16" i="8" s="1"/>
  <c r="DI29" i="8"/>
  <c r="AE17" i="4"/>
  <c r="AF17" i="4"/>
  <c r="L13" i="4"/>
  <c r="I39" i="6"/>
  <c r="F39" i="1"/>
  <c r="H39" i="1"/>
  <c r="H75" i="1" s="1"/>
  <c r="H39" i="7"/>
  <c r="H75" i="7" s="1"/>
  <c r="H89" i="7" s="1"/>
  <c r="H90" i="7" s="1"/>
  <c r="D39" i="1"/>
  <c r="D75" i="1" s="1"/>
  <c r="L15" i="1"/>
  <c r="N15" i="1" s="1"/>
  <c r="N39" i="1" s="1"/>
  <c r="L15" i="7"/>
  <c r="D39" i="7"/>
  <c r="D75" i="7" s="1"/>
  <c r="DG43" i="8"/>
  <c r="DK43" i="8" s="1"/>
  <c r="F39" i="6"/>
  <c r="D39" i="6"/>
  <c r="D75" i="6" s="1"/>
  <c r="L15" i="6"/>
  <c r="F39" i="7"/>
  <c r="G39" i="1"/>
  <c r="G39" i="6"/>
  <c r="H39" i="6"/>
  <c r="H75" i="6" s="1"/>
  <c r="I39" i="1"/>
  <c r="I39" i="7"/>
  <c r="G39" i="7"/>
  <c r="L47" i="6"/>
  <c r="L73" i="6" s="1"/>
  <c r="N48" i="1"/>
  <c r="C75" i="7"/>
  <c r="C89" i="7" s="1"/>
  <c r="C90" i="7" s="1"/>
  <c r="K48" i="4"/>
  <c r="I87" i="7"/>
  <c r="L21" i="6"/>
  <c r="D87" i="7"/>
  <c r="J14" i="4"/>
  <c r="B31" i="4" s="1"/>
  <c r="P13" i="12" s="1"/>
  <c r="L85" i="7"/>
  <c r="L87" i="7" s="1"/>
  <c r="N82" i="7"/>
  <c r="N85" i="7" s="1"/>
  <c r="L36" i="4" s="1"/>
  <c r="K8" i="4"/>
  <c r="AE11" i="4" s="1"/>
  <c r="L87" i="1"/>
  <c r="CB66" i="8"/>
  <c r="CD66" i="8" s="1"/>
  <c r="CF66" i="8" s="1"/>
  <c r="BK88" i="8"/>
  <c r="BK90" i="8" s="1"/>
  <c r="BK91" i="8" s="1"/>
  <c r="CF19" i="8"/>
  <c r="W27" i="4" s="1"/>
  <c r="W29" i="4" s="1"/>
  <c r="CF72" i="8" s="1"/>
  <c r="H87" i="6"/>
  <c r="F87" i="7"/>
  <c r="M66" i="7"/>
  <c r="N66" i="7"/>
  <c r="L21" i="1"/>
  <c r="K49" i="4"/>
  <c r="G87" i="6"/>
  <c r="AF18" i="4"/>
  <c r="L14" i="4"/>
  <c r="D31" i="4" s="1"/>
  <c r="R13" i="12" s="1"/>
  <c r="BP81" i="8"/>
  <c r="BY21" i="8"/>
  <c r="CB21" i="8" s="1"/>
  <c r="CD21" i="8" s="1"/>
  <c r="L41" i="8"/>
  <c r="N80" i="1"/>
  <c r="N87" i="1" s="1"/>
  <c r="N82" i="1"/>
  <c r="N85" i="1" s="1"/>
  <c r="J36" i="4" s="1"/>
  <c r="L85" i="1"/>
  <c r="C75" i="1"/>
  <c r="C89" i="1" s="1"/>
  <c r="C90" i="1" s="1"/>
  <c r="J48" i="4"/>
  <c r="N80" i="7"/>
  <c r="N87" i="7" s="1"/>
  <c r="L47" i="7"/>
  <c r="L73" i="7" s="1"/>
  <c r="L74" i="7"/>
  <c r="N48" i="7"/>
  <c r="BA47" i="8"/>
  <c r="P88" i="8"/>
  <c r="L21" i="7"/>
  <c r="N77" i="6"/>
  <c r="N80" i="6" s="1"/>
  <c r="N87" i="6" s="1"/>
  <c r="L80" i="6"/>
  <c r="L87" i="6" s="1"/>
  <c r="AE13" i="4"/>
  <c r="K9" i="4"/>
  <c r="Q11" i="12" s="1"/>
  <c r="L47" i="1"/>
  <c r="L73" i="1" s="1"/>
  <c r="L48" i="4"/>
  <c r="N66" i="6"/>
  <c r="D87" i="6"/>
  <c r="L8" i="4"/>
  <c r="AF11" i="4" s="1"/>
  <c r="CF41" i="8"/>
  <c r="DH19" i="8"/>
  <c r="DL19" i="8" s="1"/>
  <c r="O76" i="8"/>
  <c r="O90" i="8" s="1"/>
  <c r="O91" i="8" s="1"/>
  <c r="DI35" i="8"/>
  <c r="DI31" i="8"/>
  <c r="DI32" i="8"/>
  <c r="X21" i="8"/>
  <c r="BT21" i="8"/>
  <c r="BT39" i="8" s="1"/>
  <c r="DI25" i="8"/>
  <c r="CF21" i="8"/>
  <c r="C30" i="4"/>
  <c r="Q12" i="12" s="1"/>
  <c r="AE16" i="4"/>
  <c r="K24" i="4"/>
  <c r="I75" i="6"/>
  <c r="I89" i="6" s="1"/>
  <c r="I90" i="6" s="1"/>
  <c r="H81" i="8"/>
  <c r="Q47" i="8"/>
  <c r="T47" i="8" s="1"/>
  <c r="V74" i="8" s="1"/>
  <c r="Q21" i="8"/>
  <c r="T21" i="8" s="1"/>
  <c r="V21" i="8" s="1"/>
  <c r="BY47" i="8"/>
  <c r="CB47" i="8" s="1"/>
  <c r="CD74" i="8" s="1"/>
  <c r="DI24" i="8"/>
  <c r="DH32" i="8"/>
  <c r="BM81" i="8"/>
  <c r="BM88" i="8" s="1"/>
  <c r="BM21" i="8"/>
  <c r="BP21" i="8" s="1"/>
  <c r="BR21" i="8" s="1"/>
  <c r="BR39" i="8" s="1"/>
  <c r="N23" i="4" s="1"/>
  <c r="DH36" i="8"/>
  <c r="BA21" i="8"/>
  <c r="BD21" i="8" s="1"/>
  <c r="BF21" i="8" s="1"/>
  <c r="L21" i="8"/>
  <c r="L39" i="6"/>
  <c r="L75" i="6" s="1"/>
  <c r="N15" i="6"/>
  <c r="N39" i="6" s="1"/>
  <c r="D89" i="1"/>
  <c r="D90" i="1" s="1"/>
  <c r="AO79" i="8"/>
  <c r="AR79" i="8" s="1"/>
  <c r="AT79" i="8" s="1"/>
  <c r="AV79" i="8" s="1"/>
  <c r="DI79" i="8" s="1"/>
  <c r="DM79" i="8" s="1"/>
  <c r="DG79" i="8"/>
  <c r="DK79" i="8" s="1"/>
  <c r="AO70" i="8"/>
  <c r="AR70" i="8" s="1"/>
  <c r="AT70" i="8" s="1"/>
  <c r="AV70" i="8" s="1"/>
  <c r="DI70" i="8" s="1"/>
  <c r="DM70" i="8" s="1"/>
  <c r="DG70" i="8"/>
  <c r="DK70" i="8" s="1"/>
  <c r="DG73" i="8"/>
  <c r="DK73" i="8" s="1"/>
  <c r="AO73" i="8"/>
  <c r="AR73" i="8" s="1"/>
  <c r="AT73" i="8" s="1"/>
  <c r="AV73" i="8" s="1"/>
  <c r="DI73" i="8" s="1"/>
  <c r="DM73" i="8" s="1"/>
  <c r="DG46" i="8"/>
  <c r="DK46" i="8" s="1"/>
  <c r="M39" i="4" s="1"/>
  <c r="AO46" i="8"/>
  <c r="AR46" i="8" s="1"/>
  <c r="AT46" i="8" s="1"/>
  <c r="AV46" i="8" s="1"/>
  <c r="DI46" i="8" s="1"/>
  <c r="DM46" i="8" s="1"/>
  <c r="AO51" i="8"/>
  <c r="AR51" i="8" s="1"/>
  <c r="AT51" i="8" s="1"/>
  <c r="AV51" i="8" s="1"/>
  <c r="DI51" i="8" s="1"/>
  <c r="DG51" i="8"/>
  <c r="AO57" i="8"/>
  <c r="AR57" i="8" s="1"/>
  <c r="AT57" i="8" s="1"/>
  <c r="DH57" i="8" s="1"/>
  <c r="DL57" i="8" s="1"/>
  <c r="DG57" i="8"/>
  <c r="DK57" i="8" s="1"/>
  <c r="AO49" i="8"/>
  <c r="AR49" i="8" s="1"/>
  <c r="AT49" i="8" s="1"/>
  <c r="DG49" i="8"/>
  <c r="DK49" i="8" s="1"/>
  <c r="DG38" i="8"/>
  <c r="DK38" i="8" s="1"/>
  <c r="AM39" i="8"/>
  <c r="M21" i="4" s="1"/>
  <c r="AO60" i="8"/>
  <c r="AR60" i="8" s="1"/>
  <c r="AT60" i="8" s="1"/>
  <c r="DG60" i="8"/>
  <c r="DK60" i="8" s="1"/>
  <c r="AO65" i="8"/>
  <c r="AR65" i="8" s="1"/>
  <c r="AT65" i="8" s="1"/>
  <c r="AV65" i="8" s="1"/>
  <c r="DI65" i="8" s="1"/>
  <c r="DM65" i="8" s="1"/>
  <c r="DG65" i="8"/>
  <c r="DK65" i="8" s="1"/>
  <c r="AO55" i="8"/>
  <c r="AR55" i="8" s="1"/>
  <c r="AT55" i="8" s="1"/>
  <c r="DG55" i="8"/>
  <c r="DK55" i="8" s="1"/>
  <c r="M44" i="4" s="1"/>
  <c r="DG80" i="8"/>
  <c r="DK80" i="8" s="1"/>
  <c r="AO80" i="8"/>
  <c r="AR80" i="8" s="1"/>
  <c r="AT80" i="8" s="1"/>
  <c r="AV80" i="8" s="1"/>
  <c r="DI80" i="8" s="1"/>
  <c r="DM80" i="8" s="1"/>
  <c r="AO50" i="8"/>
  <c r="AR50" i="8" s="1"/>
  <c r="AT50" i="8" s="1"/>
  <c r="DH50" i="8" s="1"/>
  <c r="DG50" i="8"/>
  <c r="AO85" i="8"/>
  <c r="AR85" i="8" s="1"/>
  <c r="AT85" i="8" s="1"/>
  <c r="AV85" i="8" s="1"/>
  <c r="DI85" i="8" s="1"/>
  <c r="DM85" i="8" s="1"/>
  <c r="DG85" i="8"/>
  <c r="DK85" i="8" s="1"/>
  <c r="AN47" i="8"/>
  <c r="AN74" i="8" s="1"/>
  <c r="AO71" i="8"/>
  <c r="AR71" i="8" s="1"/>
  <c r="AT71" i="8" s="1"/>
  <c r="AV71" i="8" s="1"/>
  <c r="DI71" i="8" s="1"/>
  <c r="DM71" i="8" s="1"/>
  <c r="DG71" i="8"/>
  <c r="DK71" i="8" s="1"/>
  <c r="BX39" i="8"/>
  <c r="BX76" i="8" s="1"/>
  <c r="BX90" i="8" s="1"/>
  <c r="BX91" i="8" s="1"/>
  <c r="AO45" i="8"/>
  <c r="AR45" i="8" s="1"/>
  <c r="AT45" i="8" s="1"/>
  <c r="AV45" i="8" s="1"/>
  <c r="DI45" i="8" s="1"/>
  <c r="DM45" i="8" s="1"/>
  <c r="DG45" i="8"/>
  <c r="DK45" i="8" s="1"/>
  <c r="M38" i="4" s="1"/>
  <c r="AO59" i="8"/>
  <c r="AR59" i="8" s="1"/>
  <c r="AT59" i="8" s="1"/>
  <c r="AV59" i="8" s="1"/>
  <c r="DI59" i="8" s="1"/>
  <c r="DM59" i="8" s="1"/>
  <c r="DG59" i="8"/>
  <c r="DK59" i="8" s="1"/>
  <c r="M46" i="4" s="1"/>
  <c r="AO43" i="8"/>
  <c r="AR43" i="8" s="1"/>
  <c r="AO64" i="8"/>
  <c r="AR64" i="8" s="1"/>
  <c r="AT64" i="8" s="1"/>
  <c r="DG64" i="8"/>
  <c r="DK64" i="8" s="1"/>
  <c r="AO78" i="8"/>
  <c r="AR78" i="8" s="1"/>
  <c r="AM81" i="8"/>
  <c r="DG78" i="8"/>
  <c r="DK78" i="8" s="1"/>
  <c r="DK81" i="8" s="1"/>
  <c r="AO84" i="8"/>
  <c r="AR84" i="8" s="1"/>
  <c r="AT84" i="8" s="1"/>
  <c r="DH84" i="8" s="1"/>
  <c r="DL84" i="8" s="1"/>
  <c r="DG84" i="8"/>
  <c r="DK84" i="8" s="1"/>
  <c r="AN39" i="8"/>
  <c r="AO69" i="8"/>
  <c r="AR69" i="8" s="1"/>
  <c r="AT69" i="8" s="1"/>
  <c r="DH69" i="8" s="1"/>
  <c r="DL69" i="8" s="1"/>
  <c r="DG69" i="8"/>
  <c r="DK69" i="8" s="1"/>
  <c r="AO61" i="8"/>
  <c r="AR61" i="8" s="1"/>
  <c r="AT61" i="8" s="1"/>
  <c r="DH61" i="8" s="1"/>
  <c r="DL61" i="8" s="1"/>
  <c r="DG61" i="8"/>
  <c r="DK61" i="8" s="1"/>
  <c r="AO62" i="8"/>
  <c r="AR62" i="8" s="1"/>
  <c r="AT62" i="8" s="1"/>
  <c r="DH62" i="8" s="1"/>
  <c r="DL62" i="8" s="1"/>
  <c r="N47" i="4" s="1"/>
  <c r="DG62" i="8"/>
  <c r="DK62" i="8" s="1"/>
  <c r="M47" i="4" s="1"/>
  <c r="AN81" i="8"/>
  <c r="AO48" i="8"/>
  <c r="AR48" i="8" s="1"/>
  <c r="AT48" i="8" s="1"/>
  <c r="AM47" i="8"/>
  <c r="AM74" i="8" s="1"/>
  <c r="DG48" i="8"/>
  <c r="AO54" i="8"/>
  <c r="AR54" i="8" s="1"/>
  <c r="AT54" i="8" s="1"/>
  <c r="AV54" i="8" s="1"/>
  <c r="DI54" i="8" s="1"/>
  <c r="DM54" i="8" s="1"/>
  <c r="DG54" i="8"/>
  <c r="DK54" i="8" s="1"/>
  <c r="AO56" i="8"/>
  <c r="AR56" i="8" s="1"/>
  <c r="AT56" i="8" s="1"/>
  <c r="DG56" i="8"/>
  <c r="DK56" i="8" s="1"/>
  <c r="DG15" i="8"/>
  <c r="DK15" i="8" s="1"/>
  <c r="AY39" i="8"/>
  <c r="BA15" i="8"/>
  <c r="BD15" i="8" s="1"/>
  <c r="BF15" i="8" s="1"/>
  <c r="DG44" i="8"/>
  <c r="DK44" i="8" s="1"/>
  <c r="M37" i="4" s="1"/>
  <c r="AO44" i="8"/>
  <c r="AR44" i="8" s="1"/>
  <c r="AT44" i="8" s="1"/>
  <c r="AV44" i="8" s="1"/>
  <c r="DI44" i="8" s="1"/>
  <c r="DM44" i="8" s="1"/>
  <c r="AZ39" i="8"/>
  <c r="AZ76" i="8" s="1"/>
  <c r="AZ90" i="8" s="1"/>
  <c r="AZ91" i="8" s="1"/>
  <c r="BY15" i="8"/>
  <c r="CB15" i="8" s="1"/>
  <c r="CD15" i="8" s="1"/>
  <c r="BW39" i="8"/>
  <c r="AO42" i="8"/>
  <c r="AR42" i="8" s="1"/>
  <c r="AV42" i="8" s="1"/>
  <c r="DI42" i="8" s="1"/>
  <c r="DM42" i="8" s="1"/>
  <c r="O35" i="4" s="1"/>
  <c r="DG42" i="8"/>
  <c r="DK42" i="8" s="1"/>
  <c r="M35" i="4" s="1"/>
  <c r="AO41" i="8"/>
  <c r="AR41" i="8" s="1"/>
  <c r="AT41" i="8" s="1"/>
  <c r="DH41" i="8" s="1"/>
  <c r="DL41" i="8" s="1"/>
  <c r="DG41" i="8"/>
  <c r="DK41" i="8" s="1"/>
  <c r="DG68" i="8"/>
  <c r="DK68" i="8" s="1"/>
  <c r="M40" i="4" s="1"/>
  <c r="AO68" i="8"/>
  <c r="AR68" i="8" s="1"/>
  <c r="AT68" i="8" s="1"/>
  <c r="AV68" i="8" s="1"/>
  <c r="DI68" i="8" s="1"/>
  <c r="DM68" i="8" s="1"/>
  <c r="DG37" i="8"/>
  <c r="DK37" i="8" s="1"/>
  <c r="DK21" i="8" s="1"/>
  <c r="AO67" i="8"/>
  <c r="AR67" i="8" s="1"/>
  <c r="AT67" i="8" s="1"/>
  <c r="AV67" i="8" s="1"/>
  <c r="DI67" i="8" s="1"/>
  <c r="DM67" i="8" s="1"/>
  <c r="DG67" i="8"/>
  <c r="DK67" i="8" s="1"/>
  <c r="AO52" i="8"/>
  <c r="AR52" i="8" s="1"/>
  <c r="AT52" i="8" s="1"/>
  <c r="AV52" i="8" s="1"/>
  <c r="DI52" i="8" s="1"/>
  <c r="DM52" i="8" s="1"/>
  <c r="DG52" i="8"/>
  <c r="DK52" i="8" s="1"/>
  <c r="AO66" i="8"/>
  <c r="AR66" i="8" s="1"/>
  <c r="AT66" i="8" s="1"/>
  <c r="DH66" i="8" s="1"/>
  <c r="DG66" i="8"/>
  <c r="DK66" i="8" s="1"/>
  <c r="AO53" i="8"/>
  <c r="AR53" i="8" s="1"/>
  <c r="AT53" i="8" s="1"/>
  <c r="DH53" i="8" s="1"/>
  <c r="DL53" i="8" s="1"/>
  <c r="DG53" i="8"/>
  <c r="DK53" i="8" s="1"/>
  <c r="AO63" i="8"/>
  <c r="DG63" i="8"/>
  <c r="DK63" i="8" s="1"/>
  <c r="M51" i="4" s="1"/>
  <c r="DG83" i="8"/>
  <c r="DK83" i="8" s="1"/>
  <c r="AO83" i="8"/>
  <c r="AM86" i="8"/>
  <c r="AN86" i="8"/>
  <c r="AO58" i="8"/>
  <c r="AR58" i="8" s="1"/>
  <c r="AT58" i="8" s="1"/>
  <c r="DH58" i="8" s="1"/>
  <c r="DL58" i="8" s="1"/>
  <c r="DG58" i="8"/>
  <c r="DK58" i="8" s="1"/>
  <c r="M45" i="4" s="1"/>
  <c r="T74" i="8"/>
  <c r="E47" i="8"/>
  <c r="CB78" i="8"/>
  <c r="BY81" i="8"/>
  <c r="CB83" i="8"/>
  <c r="BY86" i="8"/>
  <c r="T83" i="8"/>
  <c r="Q86" i="8"/>
  <c r="Q88" i="8" s="1"/>
  <c r="AY88" i="8"/>
  <c r="C76" i="8"/>
  <c r="C90" i="8" s="1"/>
  <c r="C91" i="8" s="1"/>
  <c r="BM47" i="8"/>
  <c r="P90" i="8"/>
  <c r="P91" i="8" s="1"/>
  <c r="T15" i="8"/>
  <c r="V15" i="8" s="1"/>
  <c r="X15" i="8" s="1"/>
  <c r="W32" i="4" s="1"/>
  <c r="W11" i="4"/>
  <c r="N11" i="4"/>
  <c r="N14" i="4" s="1"/>
  <c r="F31" i="4" s="1"/>
  <c r="S13" i="12" s="1"/>
  <c r="BD83" i="8"/>
  <c r="BA86" i="8"/>
  <c r="BF37" i="8"/>
  <c r="BH37" i="8" s="1"/>
  <c r="BH21" i="8" s="1"/>
  <c r="BA81" i="8"/>
  <c r="BD78" i="8"/>
  <c r="AG18" i="4"/>
  <c r="M14" i="4"/>
  <c r="E31" i="4" s="1"/>
  <c r="DH22" i="8"/>
  <c r="M9" i="4"/>
  <c r="AG12" i="4"/>
  <c r="DH23" i="8"/>
  <c r="DI16" i="8"/>
  <c r="DM16" i="8" s="1"/>
  <c r="DI26" i="8"/>
  <c r="AP76" i="8"/>
  <c r="DI33" i="8"/>
  <c r="DH24" i="8"/>
  <c r="DH13" i="8"/>
  <c r="DL13" i="8" s="1"/>
  <c r="N6" i="4" s="1"/>
  <c r="AP88" i="8"/>
  <c r="DH30" i="8"/>
  <c r="DI19" i="8"/>
  <c r="DM19" i="8" s="1"/>
  <c r="DH18" i="8"/>
  <c r="DL18" i="8" s="1"/>
  <c r="DH34" i="8"/>
  <c r="D90" i="8"/>
  <c r="D91" i="8" s="1"/>
  <c r="CB74" i="8"/>
  <c r="DG40" i="8"/>
  <c r="E39" i="8"/>
  <c r="DH27" i="8"/>
  <c r="DH25" i="8"/>
  <c r="M40" i="7"/>
  <c r="DH35" i="8"/>
  <c r="Q39" i="8"/>
  <c r="DH29" i="8"/>
  <c r="BL90" i="8"/>
  <c r="BL91" i="8" s="1"/>
  <c r="BY74" i="8"/>
  <c r="BP39" i="8"/>
  <c r="DH20" i="8"/>
  <c r="DL20" i="8" s="1"/>
  <c r="DI20" i="8"/>
  <c r="DM20" i="8" s="1"/>
  <c r="DI43" i="8"/>
  <c r="DH43" i="8"/>
  <c r="DL43" i="8" s="1"/>
  <c r="DH31" i="8"/>
  <c r="X13" i="8"/>
  <c r="DI13" i="8" s="1"/>
  <c r="DM13" i="8" s="1"/>
  <c r="O6" i="4" s="1"/>
  <c r="DH38" i="8"/>
  <c r="DL38" i="8" s="1"/>
  <c r="DI28" i="8"/>
  <c r="DH28" i="8"/>
  <c r="BD47" i="8"/>
  <c r="BA74" i="8"/>
  <c r="DH42" i="8"/>
  <c r="DL42" i="8" s="1"/>
  <c r="N35" i="4" s="1"/>
  <c r="DI36" i="8"/>
  <c r="DH14" i="8"/>
  <c r="DL14" i="8" s="1"/>
  <c r="DH73" i="8"/>
  <c r="DL73" i="8" s="1"/>
  <c r="BR83" i="8"/>
  <c r="BR86" i="8" s="1"/>
  <c r="BM39" i="8"/>
  <c r="L89" i="6"/>
  <c r="L90" i="6" s="1"/>
  <c r="AV48" i="8"/>
  <c r="DI48" i="8" s="1"/>
  <c r="DH48" i="8"/>
  <c r="AT78" i="8"/>
  <c r="AV61" i="8"/>
  <c r="DI61" i="8" s="1"/>
  <c r="DM61" i="8" s="1"/>
  <c r="AV55" i="8"/>
  <c r="DI55" i="8" s="1"/>
  <c r="DM55" i="8" s="1"/>
  <c r="DH55" i="8"/>
  <c r="DL55" i="8" s="1"/>
  <c r="N44" i="4" s="1"/>
  <c r="J86" i="8"/>
  <c r="L83" i="8"/>
  <c r="BR81" i="8"/>
  <c r="BT78" i="8"/>
  <c r="BT81" i="8" s="1"/>
  <c r="J81" i="8"/>
  <c r="L78" i="8"/>
  <c r="L81" i="8" s="1"/>
  <c r="AV60" i="8"/>
  <c r="DI60" i="8" s="1"/>
  <c r="DM60" i="8" s="1"/>
  <c r="DH60" i="8"/>
  <c r="DL60" i="8" s="1"/>
  <c r="DH51" i="8"/>
  <c r="BP88" i="8"/>
  <c r="H88" i="8"/>
  <c r="J21" i="8"/>
  <c r="J39" i="8" s="1"/>
  <c r="H39" i="8"/>
  <c r="AG11" i="4"/>
  <c r="DH54" i="8" l="1"/>
  <c r="DL54" i="8" s="1"/>
  <c r="DH44" i="8"/>
  <c r="DL44" i="8" s="1"/>
  <c r="N37" i="4" s="1"/>
  <c r="Q74" i="8"/>
  <c r="Q76" i="8" s="1"/>
  <c r="Q90" i="8" s="1"/>
  <c r="Q91" i="8" s="1"/>
  <c r="H89" i="1"/>
  <c r="H90" i="1" s="1"/>
  <c r="L39" i="1"/>
  <c r="L75" i="1" s="1"/>
  <c r="L89" i="1" s="1"/>
  <c r="L90" i="1" s="1"/>
  <c r="AF16" i="4"/>
  <c r="D30" i="4"/>
  <c r="R12" i="12" s="1"/>
  <c r="H89" i="6"/>
  <c r="H90" i="6" s="1"/>
  <c r="D89" i="7"/>
  <c r="D90" i="7" s="1"/>
  <c r="AV53" i="8"/>
  <c r="DI53" i="8" s="1"/>
  <c r="DM53" i="8" s="1"/>
  <c r="N47" i="7"/>
  <c r="L42" i="4"/>
  <c r="K22" i="4"/>
  <c r="G75" i="6"/>
  <c r="G89" i="6" s="1"/>
  <c r="G90" i="6" s="1"/>
  <c r="N15" i="7"/>
  <c r="N39" i="7" s="1"/>
  <c r="L39" i="7"/>
  <c r="L75" i="7" s="1"/>
  <c r="L89" i="7" s="1"/>
  <c r="L90" i="7" s="1"/>
  <c r="DM43" i="8"/>
  <c r="O36" i="4"/>
  <c r="J22" i="4"/>
  <c r="G75" i="1"/>
  <c r="G89" i="1" s="1"/>
  <c r="G90" i="1" s="1"/>
  <c r="N47" i="1"/>
  <c r="J42" i="4"/>
  <c r="L21" i="4"/>
  <c r="F75" i="7"/>
  <c r="F89" i="7" s="1"/>
  <c r="F90" i="7" s="1"/>
  <c r="L22" i="4"/>
  <c r="G75" i="7"/>
  <c r="G89" i="7" s="1"/>
  <c r="G90" i="7" s="1"/>
  <c r="D89" i="6"/>
  <c r="D90" i="6" s="1"/>
  <c r="I75" i="7"/>
  <c r="I89" i="7" s="1"/>
  <c r="I90" i="7" s="1"/>
  <c r="L24" i="4"/>
  <c r="K21" i="4"/>
  <c r="F75" i="6"/>
  <c r="F89" i="6" s="1"/>
  <c r="F90" i="6" s="1"/>
  <c r="J21" i="4"/>
  <c r="F75" i="1"/>
  <c r="F89" i="1" s="1"/>
  <c r="F90" i="1" s="1"/>
  <c r="DH45" i="8"/>
  <c r="DL45" i="8" s="1"/>
  <c r="N38" i="4" s="1"/>
  <c r="W56" i="4" s="1"/>
  <c r="AM88" i="8"/>
  <c r="K42" i="4"/>
  <c r="N47" i="6"/>
  <c r="I75" i="1"/>
  <c r="I89" i="1" s="1"/>
  <c r="I90" i="1" s="1"/>
  <c r="J24" i="4"/>
  <c r="P23" i="4"/>
  <c r="O23" i="4"/>
  <c r="N13" i="4"/>
  <c r="F30" i="4" s="1"/>
  <c r="S12" i="12" s="1"/>
  <c r="DK48" i="8"/>
  <c r="DK47" i="8" s="1"/>
  <c r="DK86" i="8"/>
  <c r="DK88" i="8" s="1"/>
  <c r="CB39" i="8"/>
  <c r="DG81" i="8"/>
  <c r="BD39" i="8"/>
  <c r="AV62" i="8"/>
  <c r="DI62" i="8" s="1"/>
  <c r="DM62" i="8" s="1"/>
  <c r="BY39" i="8"/>
  <c r="BY76" i="8" s="1"/>
  <c r="DG47" i="8"/>
  <c r="DG74" i="8" s="1"/>
  <c r="AV57" i="8"/>
  <c r="DI57" i="8" s="1"/>
  <c r="DM57" i="8" s="1"/>
  <c r="T39" i="8"/>
  <c r="T63" i="8" s="1"/>
  <c r="V63" i="8" s="1"/>
  <c r="AO47" i="8"/>
  <c r="AR47" i="8" s="1"/>
  <c r="BA39" i="8"/>
  <c r="DH37" i="8"/>
  <c r="DL37" i="8" s="1"/>
  <c r="DL21" i="8" s="1"/>
  <c r="AV66" i="8"/>
  <c r="DH59" i="8"/>
  <c r="DL59" i="8" s="1"/>
  <c r="N46" i="4" s="1"/>
  <c r="DH52" i="8"/>
  <c r="DL52" i="8" s="1"/>
  <c r="AV69" i="8"/>
  <c r="DI69" i="8" s="1"/>
  <c r="DM69" i="8" s="1"/>
  <c r="AV58" i="8"/>
  <c r="DI58" i="8" s="1"/>
  <c r="DM58" i="8" s="1"/>
  <c r="DH70" i="8"/>
  <c r="DL70" i="8" s="1"/>
  <c r="DK39" i="8"/>
  <c r="AV49" i="8"/>
  <c r="DI49" i="8" s="1"/>
  <c r="DM49" i="8" s="1"/>
  <c r="DH49" i="8"/>
  <c r="DL49" i="8" s="1"/>
  <c r="DG21" i="8"/>
  <c r="DG39" i="8" s="1"/>
  <c r="DH85" i="8"/>
  <c r="DL85" i="8" s="1"/>
  <c r="DH79" i="8"/>
  <c r="DL79" i="8" s="1"/>
  <c r="DH67" i="8"/>
  <c r="DL67" i="8" s="1"/>
  <c r="AN88" i="8"/>
  <c r="AN76" i="8"/>
  <c r="M32" i="4"/>
  <c r="M31" i="4" s="1"/>
  <c r="DH80" i="8"/>
  <c r="DL80" i="8" s="1"/>
  <c r="AP90" i="8"/>
  <c r="AP91" i="8" s="1"/>
  <c r="AV84" i="8"/>
  <c r="DI84" i="8" s="1"/>
  <c r="DM84" i="8" s="1"/>
  <c r="AR81" i="8"/>
  <c r="DH46" i="8"/>
  <c r="DL46" i="8" s="1"/>
  <c r="N39" i="4" s="1"/>
  <c r="W58" i="4" s="1"/>
  <c r="DG86" i="8"/>
  <c r="AM76" i="8"/>
  <c r="DI14" i="8"/>
  <c r="DM14" i="8" s="1"/>
  <c r="V39" i="8"/>
  <c r="V76" i="8" s="1"/>
  <c r="DG75" i="8"/>
  <c r="M74" i="7" s="1"/>
  <c r="AO81" i="8"/>
  <c r="DH68" i="8"/>
  <c r="DL68" i="8" s="1"/>
  <c r="O11" i="4"/>
  <c r="P11" i="4" s="1"/>
  <c r="BP47" i="8"/>
  <c r="BM74" i="8"/>
  <c r="BM76" i="8" s="1"/>
  <c r="BM90" i="8" s="1"/>
  <c r="BM91" i="8" s="1"/>
  <c r="V83" i="8"/>
  <c r="T86" i="8"/>
  <c r="T88" i="8" s="1"/>
  <c r="CD78" i="8"/>
  <c r="CB81" i="8"/>
  <c r="AV41" i="8"/>
  <c r="DI41" i="8" s="1"/>
  <c r="N32" i="4"/>
  <c r="BD81" i="8"/>
  <c r="BF78" i="8"/>
  <c r="H47" i="8"/>
  <c r="E74" i="8"/>
  <c r="E76" i="8" s="1"/>
  <c r="E90" i="8" s="1"/>
  <c r="E91" i="8" s="1"/>
  <c r="AY76" i="8"/>
  <c r="AY90" i="8" s="1"/>
  <c r="AY91" i="8" s="1"/>
  <c r="M22" i="4"/>
  <c r="M48" i="4"/>
  <c r="DH71" i="8"/>
  <c r="DL71" i="8" s="1"/>
  <c r="BA88" i="8"/>
  <c r="BD86" i="8"/>
  <c r="BF83" i="8"/>
  <c r="CD83" i="8"/>
  <c r="CB86" i="8"/>
  <c r="BY88" i="8"/>
  <c r="AR83" i="8"/>
  <c r="AO86" i="8"/>
  <c r="DI37" i="8"/>
  <c r="DM37" i="8" s="1"/>
  <c r="DM21" i="8" s="1"/>
  <c r="BW76" i="8"/>
  <c r="BW90" i="8" s="1"/>
  <c r="BW91" i="8" s="1"/>
  <c r="M24" i="4"/>
  <c r="BT83" i="8"/>
  <c r="BT86" i="8" s="1"/>
  <c r="BT88" i="8" s="1"/>
  <c r="N45" i="4"/>
  <c r="DH65" i="8"/>
  <c r="DL65" i="8" s="1"/>
  <c r="AV50" i="8"/>
  <c r="DI50" i="8" s="1"/>
  <c r="DM48" i="8" s="1"/>
  <c r="AO39" i="8"/>
  <c r="BP63" i="8"/>
  <c r="BR63" i="8" s="1"/>
  <c r="AO74" i="8"/>
  <c r="BA76" i="8"/>
  <c r="N48" i="4"/>
  <c r="O48" i="4" s="1"/>
  <c r="W66" i="4" s="1"/>
  <c r="AT39" i="8"/>
  <c r="N21" i="4" s="1"/>
  <c r="AR39" i="8"/>
  <c r="AR63" i="8" s="1"/>
  <c r="AT63" i="8" s="1"/>
  <c r="BF47" i="8"/>
  <c r="BF74" i="8" s="1"/>
  <c r="BD74" i="8"/>
  <c r="W50" i="4"/>
  <c r="AV64" i="8"/>
  <c r="DI64" i="8" s="1"/>
  <c r="DM64" i="8" s="1"/>
  <c r="DH64" i="8"/>
  <c r="DL64" i="8" s="1"/>
  <c r="O37" i="4"/>
  <c r="W54" i="4" s="1"/>
  <c r="AV56" i="8"/>
  <c r="DI56" i="8" s="1"/>
  <c r="DM56" i="8" s="1"/>
  <c r="DH56" i="8"/>
  <c r="DL56" i="8" s="1"/>
  <c r="DL48" i="8"/>
  <c r="AT47" i="8"/>
  <c r="AT74" i="8" s="1"/>
  <c r="AR74" i="8"/>
  <c r="J88" i="8"/>
  <c r="BH15" i="8"/>
  <c r="DH15" i="8"/>
  <c r="BF39" i="8"/>
  <c r="N22" i="4" s="1"/>
  <c r="DL66" i="8"/>
  <c r="CF15" i="8"/>
  <c r="CF39" i="8" s="1"/>
  <c r="CD39" i="8"/>
  <c r="O47" i="4"/>
  <c r="P47" i="4" s="1"/>
  <c r="BT63" i="8"/>
  <c r="BT47" i="8" s="1"/>
  <c r="BT74" i="8" s="1"/>
  <c r="BT76" i="8" s="1"/>
  <c r="BR88" i="8"/>
  <c r="AT81" i="8"/>
  <c r="AV78" i="8"/>
  <c r="H63" i="8"/>
  <c r="J63" i="8" s="1"/>
  <c r="L86" i="8"/>
  <c r="L88" i="8" s="1"/>
  <c r="O46" i="4"/>
  <c r="P46" i="4" s="1"/>
  <c r="O44" i="4"/>
  <c r="P44" i="4" s="1"/>
  <c r="P6" i="4"/>
  <c r="N8" i="4"/>
  <c r="N9" i="4"/>
  <c r="S11" i="12" s="1"/>
  <c r="W8" i="4"/>
  <c r="L38" i="8" s="1"/>
  <c r="BD63" i="8" l="1"/>
  <c r="BF63" i="8" s="1"/>
  <c r="AM90" i="8"/>
  <c r="AM91" i="8" s="1"/>
  <c r="M27" i="4"/>
  <c r="P38" i="4"/>
  <c r="P39" i="4"/>
  <c r="DH78" i="8"/>
  <c r="M42" i="4"/>
  <c r="DG88" i="8"/>
  <c r="K25" i="4"/>
  <c r="K29" i="4" s="1"/>
  <c r="C11" i="4" s="1"/>
  <c r="Q6" i="12" s="1"/>
  <c r="DM41" i="8"/>
  <c r="O32" i="4" s="1"/>
  <c r="N40" i="4"/>
  <c r="P40" i="4" s="1"/>
  <c r="M36" i="4"/>
  <c r="L43" i="4"/>
  <c r="L41" i="4" s="1"/>
  <c r="N73" i="7"/>
  <c r="N75" i="7" s="1"/>
  <c r="N89" i="7" s="1"/>
  <c r="N90" i="7" s="1"/>
  <c r="CB63" i="8"/>
  <c r="K43" i="4"/>
  <c r="K41" i="4" s="1"/>
  <c r="N73" i="6"/>
  <c r="N75" i="6" s="1"/>
  <c r="N89" i="6" s="1"/>
  <c r="N90" i="6" s="1"/>
  <c r="L25" i="4"/>
  <c r="L29" i="4" s="1"/>
  <c r="D49" i="4" s="1"/>
  <c r="J43" i="4"/>
  <c r="J41" i="4" s="1"/>
  <c r="N73" i="1"/>
  <c r="N75" i="1" s="1"/>
  <c r="N89" i="1" s="1"/>
  <c r="N90" i="1" s="1"/>
  <c r="J25" i="4"/>
  <c r="J29" i="4" s="1"/>
  <c r="B49" i="4" s="1"/>
  <c r="DG76" i="8"/>
  <c r="CB76" i="8"/>
  <c r="DH21" i="8"/>
  <c r="DH39" i="8" s="1"/>
  <c r="BD76" i="8"/>
  <c r="T76" i="8"/>
  <c r="T90" i="8" s="1"/>
  <c r="T91" i="8" s="1"/>
  <c r="P35" i="4"/>
  <c r="CB88" i="8"/>
  <c r="BY90" i="8"/>
  <c r="BY91" i="8" s="1"/>
  <c r="AN90" i="8"/>
  <c r="AN91" i="8" s="1"/>
  <c r="P37" i="4"/>
  <c r="BA90" i="8"/>
  <c r="BA91" i="8" s="1"/>
  <c r="M29" i="4"/>
  <c r="E23" i="4" s="1"/>
  <c r="DI66" i="8"/>
  <c r="DM66" i="8" s="1"/>
  <c r="DI21" i="8"/>
  <c r="AG24" i="4"/>
  <c r="E33" i="4"/>
  <c r="M43" i="4"/>
  <c r="M41" i="4" s="1"/>
  <c r="DK74" i="8"/>
  <c r="DK76" i="8" s="1"/>
  <c r="DK90" i="8" s="1"/>
  <c r="DK91" i="8" s="1"/>
  <c r="BH78" i="8"/>
  <c r="BH81" i="8" s="1"/>
  <c r="BF81" i="8"/>
  <c r="BD88" i="8"/>
  <c r="CD81" i="8"/>
  <c r="CF78" i="8"/>
  <c r="CF81" i="8" s="1"/>
  <c r="BR47" i="8"/>
  <c r="BR74" i="8" s="1"/>
  <c r="BR76" i="8" s="1"/>
  <c r="BR90" i="8" s="1"/>
  <c r="BR91" i="8" s="1"/>
  <c r="BP74" i="8"/>
  <c r="BP76" i="8" s="1"/>
  <c r="BP90" i="8" s="1"/>
  <c r="BP91" i="8" s="1"/>
  <c r="CD86" i="8"/>
  <c r="N49" i="4" s="1"/>
  <c r="CF83" i="8"/>
  <c r="CF86" i="8" s="1"/>
  <c r="N31" i="4"/>
  <c r="W13" i="4"/>
  <c r="X38" i="8" s="1"/>
  <c r="DI38" i="8" s="1"/>
  <c r="DM38" i="8" s="1"/>
  <c r="AO88" i="8"/>
  <c r="AR86" i="8"/>
  <c r="AR88" i="8" s="1"/>
  <c r="AT83" i="8"/>
  <c r="BF86" i="8"/>
  <c r="BH83" i="8"/>
  <c r="BH86" i="8" s="1"/>
  <c r="H74" i="8"/>
  <c r="H76" i="8" s="1"/>
  <c r="H90" i="8" s="1"/>
  <c r="H91" i="8" s="1"/>
  <c r="J47" i="8"/>
  <c r="J74" i="8" s="1"/>
  <c r="J76" i="8" s="1"/>
  <c r="J90" i="8" s="1"/>
  <c r="J91" i="8" s="1"/>
  <c r="V86" i="8"/>
  <c r="V88" i="8" s="1"/>
  <c r="V90" i="8" s="1"/>
  <c r="V91" i="8" s="1"/>
  <c r="X83" i="8"/>
  <c r="X86" i="8" s="1"/>
  <c r="X88" i="8" s="1"/>
  <c r="O45" i="4"/>
  <c r="P45" i="4" s="1"/>
  <c r="AO76" i="8"/>
  <c r="E57" i="4"/>
  <c r="P48" i="4"/>
  <c r="AR76" i="8"/>
  <c r="AT76" i="8"/>
  <c r="W21" i="4"/>
  <c r="BT90" i="8"/>
  <c r="BT91" i="8" s="1"/>
  <c r="N42" i="4"/>
  <c r="DI15" i="8"/>
  <c r="DM15" i="8" s="1"/>
  <c r="BH39" i="8"/>
  <c r="O22" i="4" s="1"/>
  <c r="N24" i="4"/>
  <c r="N27" i="4" s="1"/>
  <c r="CD76" i="8"/>
  <c r="O24" i="4"/>
  <c r="DH63" i="8"/>
  <c r="DH81" i="8"/>
  <c r="DL78" i="8"/>
  <c r="DL81" i="8" s="1"/>
  <c r="BF76" i="8"/>
  <c r="AV81" i="8"/>
  <c r="DL15" i="8"/>
  <c r="DL39" i="8" s="1"/>
  <c r="S10" i="12"/>
  <c r="O7" i="4"/>
  <c r="P7" i="4" s="1"/>
  <c r="L39" i="8"/>
  <c r="L63" i="8" s="1"/>
  <c r="E55" i="4" l="1"/>
  <c r="E50" i="4"/>
  <c r="E38" i="4"/>
  <c r="E58" i="4"/>
  <c r="DG90" i="8"/>
  <c r="DG91" i="8" s="1"/>
  <c r="E49" i="4"/>
  <c r="E40" i="4"/>
  <c r="E39" i="4"/>
  <c r="BD90" i="8"/>
  <c r="BD91" i="8" s="1"/>
  <c r="E11" i="4"/>
  <c r="C55" i="4"/>
  <c r="Q21" i="12" s="1"/>
  <c r="C41" i="4"/>
  <c r="C40" i="4"/>
  <c r="C50" i="4"/>
  <c r="L27" i="4"/>
  <c r="C57" i="4"/>
  <c r="C23" i="4"/>
  <c r="J27" i="4"/>
  <c r="C38" i="4"/>
  <c r="C51" i="4"/>
  <c r="C39" i="4"/>
  <c r="Q19" i="12" s="1"/>
  <c r="C49" i="4"/>
  <c r="P22" i="4"/>
  <c r="O27" i="4"/>
  <c r="P27" i="4" s="1"/>
  <c r="K27" i="4"/>
  <c r="O31" i="4"/>
  <c r="G33" i="4" s="1"/>
  <c r="W40" i="4"/>
  <c r="P32" i="4"/>
  <c r="B51" i="4"/>
  <c r="K53" i="4"/>
  <c r="C58" i="4"/>
  <c r="B58" i="4"/>
  <c r="J53" i="4"/>
  <c r="J55" i="4" s="1"/>
  <c r="D41" i="4"/>
  <c r="B41" i="4"/>
  <c r="B23" i="4"/>
  <c r="B11" i="4"/>
  <c r="AE20" i="4" s="1"/>
  <c r="B38" i="4"/>
  <c r="B39" i="4"/>
  <c r="P19" i="12" s="1"/>
  <c r="B40" i="4"/>
  <c r="B57" i="4"/>
  <c r="B55" i="4"/>
  <c r="P21" i="12" s="1"/>
  <c r="B50" i="4"/>
  <c r="CF88" i="8"/>
  <c r="E51" i="4"/>
  <c r="E41" i="4"/>
  <c r="D51" i="4"/>
  <c r="CF63" i="8"/>
  <c r="CF47" i="8" s="1"/>
  <c r="CF74" i="8" s="1"/>
  <c r="D23" i="4"/>
  <c r="D38" i="4"/>
  <c r="D55" i="4"/>
  <c r="R21" i="12" s="1"/>
  <c r="D39" i="4"/>
  <c r="R19" i="12" s="1"/>
  <c r="D11" i="4"/>
  <c r="D57" i="4"/>
  <c r="D40" i="4"/>
  <c r="D50" i="4"/>
  <c r="D58" i="4"/>
  <c r="L53" i="4"/>
  <c r="L55" i="4" s="1"/>
  <c r="CB90" i="8"/>
  <c r="CB91" i="8" s="1"/>
  <c r="BH88" i="8"/>
  <c r="P24" i="4"/>
  <c r="M53" i="4"/>
  <c r="E56" i="4" s="1"/>
  <c r="AR90" i="8"/>
  <c r="AR91" i="8" s="1"/>
  <c r="N29" i="4"/>
  <c r="AO90" i="8"/>
  <c r="AO91" i="8" s="1"/>
  <c r="O12" i="4"/>
  <c r="P12" i="4" s="1"/>
  <c r="X39" i="8"/>
  <c r="X63" i="8" s="1"/>
  <c r="X74" i="8" s="1"/>
  <c r="X76" i="8" s="1"/>
  <c r="X90" i="8" s="1"/>
  <c r="X91" i="8" s="1"/>
  <c r="CD88" i="8"/>
  <c r="CD90" i="8" s="1"/>
  <c r="CD91" i="8" s="1"/>
  <c r="DH83" i="8"/>
  <c r="AV83" i="8"/>
  <c r="AT86" i="8"/>
  <c r="AT88" i="8" s="1"/>
  <c r="AT90" i="8" s="1"/>
  <c r="AT91" i="8" s="1"/>
  <c r="DI78" i="8"/>
  <c r="DI81" i="8" s="1"/>
  <c r="F33" i="4"/>
  <c r="BF88" i="8"/>
  <c r="BF90" i="8" s="1"/>
  <c r="BF91" i="8" s="1"/>
  <c r="E19" i="4"/>
  <c r="AG20" i="4"/>
  <c r="W23" i="4"/>
  <c r="AV72" i="8" s="1"/>
  <c r="DI72" i="8" s="1"/>
  <c r="DM72" i="8" s="1"/>
  <c r="P25" i="4"/>
  <c r="O42" i="4"/>
  <c r="W64" i="4" s="1"/>
  <c r="DL63" i="8"/>
  <c r="N51" i="4" s="1"/>
  <c r="DH47" i="8"/>
  <c r="DH74" i="8" s="1"/>
  <c r="DH76" i="8" s="1"/>
  <c r="BH63" i="8"/>
  <c r="BH47" i="8" s="1"/>
  <c r="BH74" i="8" s="1"/>
  <c r="BH76" i="8" s="1"/>
  <c r="BH90" i="8" s="1"/>
  <c r="BH91" i="8" s="1"/>
  <c r="L47" i="8"/>
  <c r="L74" i="8" s="1"/>
  <c r="L76" i="8" s="1"/>
  <c r="L90" i="8" s="1"/>
  <c r="L91" i="8" s="1"/>
  <c r="O9" i="4"/>
  <c r="T11" i="12" s="1"/>
  <c r="O8" i="4"/>
  <c r="P8" i="4" s="1"/>
  <c r="E52" i="4" l="1"/>
  <c r="DM78" i="8"/>
  <c r="DM81" i="8" s="1"/>
  <c r="Q18" i="12"/>
  <c r="C52" i="4"/>
  <c r="CF76" i="8"/>
  <c r="CF90" i="8" s="1"/>
  <c r="CF91" i="8" s="1"/>
  <c r="O49" i="4"/>
  <c r="P49" i="4" s="1"/>
  <c r="B59" i="4"/>
  <c r="J56" i="4"/>
  <c r="B25" i="4"/>
  <c r="D59" i="4"/>
  <c r="D25" i="4"/>
  <c r="L56" i="4"/>
  <c r="R6" i="12"/>
  <c r="AF20" i="4"/>
  <c r="D19" i="4"/>
  <c r="AI9" i="12" s="1"/>
  <c r="C34" i="4"/>
  <c r="C35" i="4"/>
  <c r="C24" i="4"/>
  <c r="K55" i="4"/>
  <c r="C12" i="4"/>
  <c r="C56" i="4"/>
  <c r="Q22" i="12" s="1"/>
  <c r="P31" i="4"/>
  <c r="D24" i="4"/>
  <c r="D35" i="4"/>
  <c r="D56" i="4"/>
  <c r="R22" i="12" s="1"/>
  <c r="D12" i="4"/>
  <c r="D34" i="4"/>
  <c r="R18" i="12"/>
  <c r="D52" i="4"/>
  <c r="P18" i="12"/>
  <c r="B52" i="4"/>
  <c r="P6" i="12"/>
  <c r="C19" i="4"/>
  <c r="AH9" i="12" s="1"/>
  <c r="B34" i="4"/>
  <c r="B56" i="4"/>
  <c r="P22" i="12" s="1"/>
  <c r="B24" i="4"/>
  <c r="B12" i="4"/>
  <c r="P7" i="12" s="1"/>
  <c r="B35" i="4"/>
  <c r="E12" i="4"/>
  <c r="E35" i="4"/>
  <c r="E24" i="4"/>
  <c r="M55" i="4"/>
  <c r="E59" i="4" s="1"/>
  <c r="E34" i="4"/>
  <c r="P42" i="4"/>
  <c r="AV86" i="8"/>
  <c r="AV88" i="8" s="1"/>
  <c r="DI83" i="8"/>
  <c r="DH86" i="8"/>
  <c r="DH88" i="8" s="1"/>
  <c r="DH90" i="8" s="1"/>
  <c r="DH91" i="8" s="1"/>
  <c r="DL83" i="8"/>
  <c r="DL86" i="8" s="1"/>
  <c r="N36" i="4" s="1"/>
  <c r="O14" i="4"/>
  <c r="G31" i="4" s="1"/>
  <c r="T13" i="12" s="1"/>
  <c r="O13" i="4"/>
  <c r="DI17" i="8"/>
  <c r="AV39" i="8"/>
  <c r="O21" i="4" s="1"/>
  <c r="P21" i="4" s="1"/>
  <c r="F38" i="4"/>
  <c r="S18" i="12" s="1"/>
  <c r="DL47" i="8"/>
  <c r="E13" i="4"/>
  <c r="T10" i="12"/>
  <c r="O29" i="4" l="1"/>
  <c r="C25" i="4"/>
  <c r="C59" i="4"/>
  <c r="K56" i="4"/>
  <c r="B13" i="4"/>
  <c r="R7" i="12"/>
  <c r="AF21" i="4"/>
  <c r="D13" i="4"/>
  <c r="D20" i="4"/>
  <c r="AI10" i="12" s="1"/>
  <c r="E20" i="4"/>
  <c r="E21" i="4" s="1"/>
  <c r="C13" i="4"/>
  <c r="AE21" i="4"/>
  <c r="Q7" i="12"/>
  <c r="C20" i="4"/>
  <c r="AG21" i="4"/>
  <c r="E25" i="4"/>
  <c r="M56" i="4"/>
  <c r="G30" i="4"/>
  <c r="T12" i="12" s="1"/>
  <c r="P13" i="4"/>
  <c r="DL88" i="8"/>
  <c r="DM83" i="8"/>
  <c r="DM86" i="8" s="1"/>
  <c r="DM88" i="8" s="1"/>
  <c r="DI86" i="8"/>
  <c r="DI88" i="8" s="1"/>
  <c r="F51" i="4"/>
  <c r="AV63" i="8"/>
  <c r="AV47" i="8" s="1"/>
  <c r="DI39" i="8"/>
  <c r="DM17" i="8"/>
  <c r="DM39" i="8" s="1"/>
  <c r="F50" i="4"/>
  <c r="F40" i="4"/>
  <c r="F55" i="4"/>
  <c r="S21" i="12" s="1"/>
  <c r="F11" i="4"/>
  <c r="F19" i="4" s="1"/>
  <c r="F49" i="4"/>
  <c r="F41" i="4"/>
  <c r="F57" i="4"/>
  <c r="F23" i="4"/>
  <c r="F39" i="4"/>
  <c r="S19" i="12" s="1"/>
  <c r="DL74" i="8"/>
  <c r="DL76" i="8" s="1"/>
  <c r="N43" i="4"/>
  <c r="N41" i="4" s="1"/>
  <c r="AG22" i="4"/>
  <c r="E14" i="4"/>
  <c r="D21" i="4" l="1"/>
  <c r="C21" i="4"/>
  <c r="AH10" i="12"/>
  <c r="AH17" i="12"/>
  <c r="P8" i="12"/>
  <c r="B14" i="4"/>
  <c r="AH18" i="12" s="1"/>
  <c r="AF22" i="4"/>
  <c r="AJ17" i="12"/>
  <c r="R8" i="12"/>
  <c r="D14" i="4"/>
  <c r="AJ18" i="12" s="1"/>
  <c r="AE22" i="4"/>
  <c r="AI17" i="12"/>
  <c r="Q8" i="12"/>
  <c r="C14" i="4"/>
  <c r="AI18" i="12" s="1"/>
  <c r="P36" i="4"/>
  <c r="DL90" i="8"/>
  <c r="DL91" i="8" s="1"/>
  <c r="AJ9" i="12"/>
  <c r="AV74" i="8"/>
  <c r="AV76" i="8" s="1"/>
  <c r="AV90" i="8" s="1"/>
  <c r="AV91" i="8" s="1"/>
  <c r="DI63" i="8"/>
  <c r="DI47" i="8" s="1"/>
  <c r="S6" i="12"/>
  <c r="F52" i="4"/>
  <c r="N53" i="4"/>
  <c r="N55" i="4" s="1"/>
  <c r="O43" i="4"/>
  <c r="P43" i="4" l="1"/>
  <c r="G41" i="4"/>
  <c r="P29" i="4"/>
  <c r="G58" i="4"/>
  <c r="DI74" i="8"/>
  <c r="DI76" i="8" s="1"/>
  <c r="DI90" i="8" s="1"/>
  <c r="DI91" i="8" s="1"/>
  <c r="DM63" i="8"/>
  <c r="G39" i="4"/>
  <c r="T19" i="12" s="1"/>
  <c r="G55" i="4"/>
  <c r="T21" i="12" s="1"/>
  <c r="G51" i="4"/>
  <c r="G11" i="4"/>
  <c r="G50" i="4"/>
  <c r="G38" i="4"/>
  <c r="G49" i="4"/>
  <c r="G57" i="4"/>
  <c r="G23" i="4"/>
  <c r="G40" i="4"/>
  <c r="P41" i="4"/>
  <c r="F58" i="4"/>
  <c r="O51" i="4" l="1"/>
  <c r="DM47" i="8"/>
  <c r="DM74" i="8" s="1"/>
  <c r="DM76" i="8" s="1"/>
  <c r="DM90" i="8" s="1"/>
  <c r="DM91" i="8" s="1"/>
  <c r="T18" i="12"/>
  <c r="G52" i="4"/>
  <c r="T6" i="12"/>
  <c r="G19" i="4"/>
  <c r="AK9" i="12" s="1"/>
  <c r="F24" i="4"/>
  <c r="F35" i="4"/>
  <c r="F12" i="4"/>
  <c r="F34" i="4"/>
  <c r="F56" i="4"/>
  <c r="S22" i="12" s="1"/>
  <c r="O53" i="4" l="1"/>
  <c r="O55" i="4" s="1"/>
  <c r="P51" i="4"/>
  <c r="F20" i="4"/>
  <c r="S7" i="12"/>
  <c r="F13" i="4"/>
  <c r="N56" i="4"/>
  <c r="F25" i="4"/>
  <c r="F59" i="4"/>
  <c r="O56" i="4" l="1"/>
  <c r="P55" i="4"/>
  <c r="G34" i="4"/>
  <c r="P53" i="4"/>
  <c r="G25" i="4"/>
  <c r="G56" i="4"/>
  <c r="T22" i="12" s="1"/>
  <c r="G12" i="4"/>
  <c r="T7" i="12" s="1"/>
  <c r="G35" i="4"/>
  <c r="G24" i="4"/>
  <c r="G59" i="4"/>
  <c r="AK17" i="12"/>
  <c r="S8" i="12"/>
  <c r="F14" i="4"/>
  <c r="AK18" i="12" s="1"/>
  <c r="AJ10" i="12"/>
  <c r="F21" i="4"/>
  <c r="G13" i="4" l="1"/>
  <c r="G14" i="4" s="1"/>
  <c r="AL18" i="12" s="1"/>
  <c r="G20" i="4"/>
  <c r="G21" i="4" s="1"/>
  <c r="T8" i="12" l="1"/>
  <c r="AL17" i="12"/>
  <c r="AK10" i="12"/>
  <c r="AH12" i="12" s="1"/>
  <c r="AI13" i="12" s="1"/>
  <c r="AI12" i="1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 Camilo Restrepo Santofimio</author>
  </authors>
  <commentList>
    <comment ref="E22" authorId="0" shapeId="0" xr:uid="{DBDB7AC7-24CC-44EE-BB6A-517C7005B943}">
      <text>
        <r>
          <rPr>
            <b/>
            <sz val="9"/>
            <color indexed="81"/>
            <rFont val="Tahoma"/>
            <family val="2"/>
          </rPr>
          <t>Christian Camilo Restrepo Santofimio:</t>
        </r>
        <r>
          <rPr>
            <sz val="9"/>
            <color indexed="81"/>
            <rFont val="Tahoma"/>
            <family val="2"/>
          </rPr>
          <t xml:space="preserve">
Clasificar personal por categorias de salario.</t>
        </r>
      </text>
    </comment>
    <comment ref="B65" authorId="0" shapeId="0" xr:uid="{B73F9689-6D29-47CA-B384-C5A95962B5C1}">
      <text>
        <r>
          <rPr>
            <b/>
            <sz val="9"/>
            <color indexed="81"/>
            <rFont val="Tahoma"/>
            <family val="2"/>
          </rPr>
          <t>Christian Camilo Restrepo Santofimio:</t>
        </r>
        <r>
          <rPr>
            <sz val="9"/>
            <color indexed="81"/>
            <rFont val="Tahoma"/>
            <family val="2"/>
          </rPr>
          <t xml:space="preserve">
Fondo Patrimonial.</t>
        </r>
      </text>
    </comment>
    <comment ref="B95" authorId="0" shapeId="0" xr:uid="{7DB61C05-540E-4722-BF95-E76FEC6D6BA5}">
      <text>
        <r>
          <rPr>
            <b/>
            <sz val="9"/>
            <color indexed="81"/>
            <rFont val="Tahoma"/>
            <family val="2"/>
          </rPr>
          <t>Christian Camilo Restrepo Santofimio:</t>
        </r>
        <r>
          <rPr>
            <sz val="9"/>
            <color indexed="81"/>
            <rFont val="Tahoma"/>
            <family val="2"/>
          </rPr>
          <t xml:space="preserve">
2 módulos de MAYS.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 Camilo Restrepo Santofimio</author>
  </authors>
  <commentList>
    <comment ref="M11" authorId="0" shapeId="0" xr:uid="{6230DB58-91F5-4DB3-94E7-7515074D9E77}">
      <text>
        <r>
          <rPr>
            <b/>
            <sz val="9"/>
            <color indexed="81"/>
            <rFont val="Tahoma"/>
            <family val="2"/>
          </rPr>
          <t>Christian Camilo Restrepo Santofimio:</t>
        </r>
        <r>
          <rPr>
            <sz val="9"/>
            <color indexed="81"/>
            <rFont val="Tahoma"/>
            <family val="2"/>
          </rPr>
          <t xml:space="preserve">
PPTO 15 estudiantes</t>
        </r>
      </text>
    </comment>
    <comment ref="N11" authorId="0" shapeId="0" xr:uid="{5E23561A-AC8D-415C-B28E-288009C3350B}">
      <text>
        <r>
          <rPr>
            <b/>
            <sz val="9"/>
            <color indexed="81"/>
            <rFont val="Tahoma"/>
            <family val="2"/>
          </rPr>
          <t>Christian Camilo Restrepo Santofimio:</t>
        </r>
        <r>
          <rPr>
            <sz val="9"/>
            <color indexed="81"/>
            <rFont val="Tahoma"/>
            <family val="2"/>
          </rPr>
          <t xml:space="preserve">
Proy 14 estudiantes: 4 2021-1 y 8 2021-2.</t>
        </r>
      </text>
    </comment>
    <comment ref="O11" authorId="0" shapeId="0" xr:uid="{A20310ED-5F64-4D6E-AE90-18B694E283D2}">
      <text>
        <r>
          <rPr>
            <sz val="9"/>
            <color indexed="81"/>
            <rFont val="Tahoma"/>
            <family val="2"/>
          </rPr>
          <t>Crece el número de estudiantes, pasando de 12 a 22 (83%).
El incremento de estudiantes se apalanca en la oferta del programa en modalidad Hyflex.</t>
        </r>
      </text>
    </comment>
    <comment ref="T11" authorId="0" shapeId="0" xr:uid="{0D849A46-3C8C-4CEF-9764-3984EA5E0C8A}">
      <text>
        <r>
          <rPr>
            <b/>
            <sz val="9"/>
            <color indexed="81"/>
            <rFont val="Tahoma"/>
            <family val="2"/>
          </rPr>
          <t>Christian Camilo Restrepo Santofimio:</t>
        </r>
        <r>
          <rPr>
            <sz val="9"/>
            <color indexed="81"/>
            <rFont val="Tahoma"/>
            <family val="2"/>
          </rPr>
          <t xml:space="preserve">
71,2% de aumento via número de estudiantes + 4,5% via aumento en precio.</t>
        </r>
      </text>
    </comment>
    <comment ref="N16" authorId="0" shapeId="0" xr:uid="{40FA5A8A-2994-47F4-8422-61BCB0D72D29}">
      <text>
        <r>
          <rPr>
            <b/>
            <sz val="9"/>
            <color indexed="81"/>
            <rFont val="Tahoma"/>
            <family val="2"/>
          </rPr>
          <t>Christian Camilo Restrepo Santofimio:</t>
        </r>
        <r>
          <rPr>
            <sz val="9"/>
            <color indexed="81"/>
            <rFont val="Tahoma"/>
            <family val="2"/>
          </rPr>
          <t xml:space="preserve">
Incremento de valor promedio pagado por matricula.</t>
        </r>
      </text>
    </comment>
    <comment ref="T16" authorId="0" shapeId="0" xr:uid="{858023BE-5FCC-46A3-B272-CB3A521B8F45}">
      <text>
        <r>
          <rPr>
            <b/>
            <sz val="9"/>
            <color indexed="81"/>
            <rFont val="Tahoma"/>
            <family val="2"/>
          </rPr>
          <t>Christian Camilo Restrepo Santofimio:</t>
        </r>
        <r>
          <rPr>
            <sz val="9"/>
            <color indexed="81"/>
            <rFont val="Tahoma"/>
            <family val="2"/>
          </rPr>
          <t xml:space="preserve">
4,5% precio y 0,5% en alumnos.</t>
        </r>
      </text>
    </comment>
    <comment ref="T18" authorId="0" shapeId="0" xr:uid="{0B8AB847-A292-4339-B234-4A177C063768}">
      <text>
        <r>
          <rPr>
            <b/>
            <sz val="9"/>
            <color indexed="81"/>
            <rFont val="Tahoma"/>
            <family val="2"/>
          </rPr>
          <t>Christian Camilo Restrepo Santofimio:</t>
        </r>
        <r>
          <rPr>
            <sz val="9"/>
            <color indexed="81"/>
            <rFont val="Tahoma"/>
            <family val="2"/>
          </rPr>
          <t xml:space="preserve">
Queremos mantener un PPTO de becas del 10%</t>
        </r>
      </text>
    </comment>
    <comment ref="M21" authorId="0" shapeId="0" xr:uid="{1A97809C-11D2-41F1-88C2-982976FCA1F2}">
      <text>
        <r>
          <rPr>
            <sz val="9"/>
            <color indexed="81"/>
            <rFont val="Tahoma"/>
            <family val="2"/>
          </rPr>
          <t>60m revista, 60 consultorio y 50 millones de Educontinua Presencial</t>
        </r>
      </text>
    </comment>
    <comment ref="N21" authorId="0" shapeId="0" xr:uid="{228EB11B-BAAC-4FBA-9834-AD34817C0901}">
      <text>
        <r>
          <rPr>
            <sz val="9"/>
            <color indexed="81"/>
            <rFont val="Tahoma"/>
            <family val="2"/>
          </rPr>
          <t>Ingresos proyectados del consultorio. No se proyecta recibir ingresos por la revista.</t>
        </r>
      </text>
    </comment>
    <comment ref="O21" authorId="0" shapeId="0" xr:uid="{00B5DDFB-C8D0-4546-99A6-EBFEB7BFC949}">
      <text>
        <r>
          <rPr>
            <sz val="9"/>
            <color indexed="81"/>
            <rFont val="Tahoma"/>
            <family val="2"/>
          </rPr>
          <t>60m consultorio
20m revista
26,4 educontinua presencual</t>
        </r>
      </text>
    </comment>
    <comment ref="O22" authorId="0" shapeId="0" xr:uid="{389C0A5E-42A1-448C-A6D4-A5E12BC79905}">
      <text>
        <r>
          <rPr>
            <sz val="9"/>
            <color indexed="81"/>
            <rFont val="Tahoma"/>
            <family val="2"/>
          </rPr>
          <t>Ingresos 2022: 30 m.
Ingresos 2023: 93 m.</t>
        </r>
      </text>
    </comment>
    <comment ref="O24" authorId="0" shapeId="0" xr:uid="{532D35D1-DEBF-4F1D-AEA5-9A8EFED038D1}">
      <text>
        <r>
          <rPr>
            <b/>
            <sz val="9"/>
            <color indexed="81"/>
            <rFont val="Tahoma"/>
            <family val="2"/>
          </rPr>
          <t>Christian Camilo Restrepo Santofimio:</t>
        </r>
        <r>
          <rPr>
            <sz val="9"/>
            <color indexed="81"/>
            <rFont val="Tahoma"/>
            <family val="2"/>
          </rPr>
          <t xml:space="preserve">
Regreso a los niveles Pre-pandemia.</t>
        </r>
      </text>
    </comment>
    <comment ref="O25" authorId="0" shapeId="0" xr:uid="{7E61AD9C-5E81-4E2E-9533-B83F142E44FC}">
      <text>
        <r>
          <rPr>
            <sz val="9"/>
            <color indexed="81"/>
            <rFont val="Tahoma"/>
            <family val="2"/>
          </rPr>
          <t>Venta de electivas a otras facultad y 12,5 de revista.</t>
        </r>
      </text>
    </comment>
    <comment ref="O36" authorId="0" shapeId="0" xr:uid="{9D2AE0DD-0DC0-4410-817A-04C9348BC1A9}">
      <text>
        <r>
          <rPr>
            <b/>
            <sz val="9"/>
            <color indexed="81"/>
            <rFont val="Tahoma"/>
            <family val="2"/>
          </rPr>
          <t>Christian Camilo Restrepo Santofimio:</t>
        </r>
        <r>
          <rPr>
            <sz val="9"/>
            <color indexed="81"/>
            <rFont val="Tahoma"/>
            <family val="2"/>
          </rPr>
          <t xml:space="preserve">
35 de retorno a actividades presenciales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 Camilo Restrepo Santofimio</author>
  </authors>
  <commentList>
    <comment ref="AM16" authorId="0" shapeId="0" xr:uid="{8E2BA0C5-D466-47DE-BD61-D51208620B73}">
      <text>
        <r>
          <rPr>
            <b/>
            <sz val="9"/>
            <color indexed="81"/>
            <rFont val="Tahoma"/>
            <family val="2"/>
          </rPr>
          <t>Christian Camilo Restrepo Santofimio:</t>
        </r>
        <r>
          <rPr>
            <sz val="9"/>
            <color indexed="81"/>
            <rFont val="Tahoma"/>
            <family val="2"/>
          </rPr>
          <t xml:space="preserve">
Consultorio</t>
        </r>
      </text>
    </comment>
    <comment ref="AM17" authorId="0" shapeId="0" xr:uid="{08D75524-2EEC-4144-95C9-6AB43BD6EF0F}">
      <text>
        <r>
          <rPr>
            <b/>
            <sz val="9"/>
            <color indexed="81"/>
            <rFont val="Tahoma"/>
            <family val="2"/>
          </rPr>
          <t>Christian Camilo Restrepo Santofimio:</t>
        </r>
        <r>
          <rPr>
            <sz val="9"/>
            <color indexed="81"/>
            <rFont val="Tahoma"/>
            <family val="2"/>
          </rPr>
          <t xml:space="preserve">
Presupuestados por error. Correspondian al gasto de virtualzación de la especialización.</t>
        </r>
      </text>
    </comment>
    <comment ref="AM20" authorId="0" shapeId="0" xr:uid="{394ABEDA-A64F-48FA-80A7-630B01A6EE5B}">
      <text>
        <r>
          <rPr>
            <b/>
            <sz val="9"/>
            <color indexed="81"/>
            <rFont val="Tahoma"/>
            <family val="2"/>
          </rPr>
          <t>Christian Camilo Restrepo Santofimio:</t>
        </r>
        <r>
          <rPr>
            <sz val="9"/>
            <color indexed="81"/>
            <rFont val="Tahoma"/>
            <family val="2"/>
          </rPr>
          <t xml:space="preserve">
Revista</t>
        </r>
      </text>
    </comment>
    <comment ref="AM21" authorId="0" shapeId="0" xr:uid="{490EEA97-9227-4782-A5F1-1F3D94F83DC1}">
      <text>
        <r>
          <rPr>
            <b/>
            <sz val="9"/>
            <color indexed="81"/>
            <rFont val="Tahoma"/>
            <family val="2"/>
          </rPr>
          <t>Christian Camilo Restrepo Santofimio:</t>
        </r>
        <r>
          <rPr>
            <sz val="9"/>
            <color indexed="81"/>
            <rFont val="Tahoma"/>
            <family val="2"/>
          </rPr>
          <t xml:space="preserve">
Diplomados con E-Learning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 Camilo Restrepo Santofimio</author>
  </authors>
  <commentList>
    <comment ref="E20" authorId="0" shapeId="0" xr:uid="{1154F0D7-BBBF-4165-8A6A-32DA84ED1B1D}">
      <text>
        <r>
          <rPr>
            <b/>
            <sz val="9"/>
            <color indexed="81"/>
            <rFont val="Tahoma"/>
            <family val="2"/>
          </rPr>
          <t>Christian Camilo Restrepo Santofimio:</t>
        </r>
        <r>
          <rPr>
            <sz val="9"/>
            <color indexed="81"/>
            <rFont val="Tahoma"/>
            <family val="2"/>
          </rPr>
          <t xml:space="preserve">
Virtual</t>
        </r>
      </text>
    </comment>
    <comment ref="D46" authorId="0" shapeId="0" xr:uid="{E03240C0-8168-4CB2-B54A-A23DD479DE9A}">
      <text>
        <r>
          <rPr>
            <b/>
            <sz val="9"/>
            <color indexed="81"/>
            <rFont val="Tahoma"/>
            <family val="2"/>
          </rPr>
          <t>Christian Camilo Restrepo Santofimio:</t>
        </r>
        <r>
          <rPr>
            <sz val="9"/>
            <color indexed="81"/>
            <rFont val="Tahoma"/>
            <family val="2"/>
          </rPr>
          <t xml:space="preserve">
Hay intensión desde Cerros de tener una segunda edición.</t>
        </r>
      </text>
    </comment>
    <comment ref="D47" authorId="0" shapeId="0" xr:uid="{F2054CE3-E2D8-4929-AD3F-B3855A149C17}">
      <text>
        <r>
          <rPr>
            <b/>
            <sz val="9"/>
            <color indexed="81"/>
            <rFont val="Tahoma"/>
            <family val="2"/>
          </rPr>
          <t>Christian Camilo Restrepo Santofimio:</t>
        </r>
        <r>
          <rPr>
            <sz val="9"/>
            <color indexed="81"/>
            <rFont val="Tahoma"/>
            <family val="2"/>
          </rPr>
          <t xml:space="preserve">
En manos de curriculo y luego pasa a expertos temáticos.</t>
        </r>
      </text>
    </comment>
    <comment ref="D52" authorId="0" shapeId="0" xr:uid="{ED26E6DC-3218-48DD-AD1D-AE3B58A0EDEC}">
      <text>
        <r>
          <rPr>
            <b/>
            <sz val="9"/>
            <color indexed="81"/>
            <rFont val="Tahoma"/>
            <family val="2"/>
          </rPr>
          <t>Christian Camilo Restrepo Santofimio:</t>
        </r>
        <r>
          <rPr>
            <sz val="9"/>
            <color indexed="81"/>
            <rFont val="Tahoma"/>
            <family val="2"/>
          </rPr>
          <t xml:space="preserve">
Hay intensión desde Cerros de tener una segunda edición.</t>
        </r>
      </text>
    </comment>
    <comment ref="F64" authorId="0" shapeId="0" xr:uid="{EF502BDB-FA96-47E3-B12E-E0569C1CAD86}">
      <text>
        <r>
          <rPr>
            <b/>
            <sz val="9"/>
            <color indexed="81"/>
            <rFont val="Tahoma"/>
            <family val="2"/>
          </rPr>
          <t>Christian Camilo Restrepo Santofimio:</t>
        </r>
        <r>
          <rPr>
            <sz val="9"/>
            <color indexed="81"/>
            <rFont val="Tahoma"/>
            <family val="2"/>
          </rPr>
          <t xml:space="preserve">
Clasificar personal por categorias de salario.</t>
        </r>
      </text>
    </comment>
    <comment ref="C107" authorId="0" shapeId="0" xr:uid="{51303273-D2DC-43B1-9836-5A1E2CDE79A0}">
      <text>
        <r>
          <rPr>
            <b/>
            <sz val="9"/>
            <color indexed="81"/>
            <rFont val="Tahoma"/>
            <family val="2"/>
          </rPr>
          <t>Christian Camilo Restrepo Santofimio:</t>
        </r>
        <r>
          <rPr>
            <sz val="9"/>
            <color indexed="81"/>
            <rFont val="Tahoma"/>
            <family val="2"/>
          </rPr>
          <t xml:space="preserve">
Fondo Patrimonial.</t>
        </r>
      </text>
    </comment>
    <comment ref="C135" authorId="0" shapeId="0" xr:uid="{49A681D3-0F14-4288-9007-68F41DE26BCF}">
      <text>
        <r>
          <rPr>
            <b/>
            <sz val="9"/>
            <color indexed="81"/>
            <rFont val="Tahoma"/>
            <family val="2"/>
          </rPr>
          <t>Christian Camilo Restrepo Santofimio:</t>
        </r>
        <r>
          <rPr>
            <sz val="9"/>
            <color indexed="81"/>
            <rFont val="Tahoma"/>
            <family val="2"/>
          </rPr>
          <t xml:space="preserve">
2 módulos de MAYS.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DF5281D-17C9-4B14-A5F5-4C8835640D94}" keepAlive="1" name="Consulta - A2018" description="Conexión a la consulta 'A2018' en el libro." type="5" refreshedVersion="0" background="1">
    <dbPr connection="Provider=Microsoft.Mashup.OleDb.1;Data Source=$Workbook$;Location=A2018;Extended Properties=&quot;&quot;" command="SELECT * FROM [A2018]"/>
  </connection>
  <connection id="2" xr16:uid="{F1AD4545-F607-45A8-8CC5-27727952E342}" keepAlive="1" name="Consulta - A2019" description="Conexión a la consulta 'A2019' en el libro." type="5" refreshedVersion="0" background="1">
    <dbPr connection="Provider=Microsoft.Mashup.OleDb.1;Data Source=$Workbook$;Location=A2019;Extended Properties=&quot;&quot;" command="SELECT * FROM [A2019]"/>
  </connection>
  <connection id="3" xr16:uid="{EB5B6658-CEDC-49DC-A2CD-BF055A45AC0B}" name="Consulta - A2020" description="Conexión a la consulta 'A2020' en el libro." type="100" refreshedVersion="6" minRefreshableVersion="5">
    <extLst>
      <ext xmlns:x15="http://schemas.microsoft.com/office/spreadsheetml/2010/11/main" uri="{DE250136-89BD-433C-8126-D09CA5730AF9}">
        <x15:connection id="90d90db9-36a4-4cf3-a5b9-59517b50b08c">
          <x15:oledbPr connection="Provider=Microsoft.Mashup.OleDb.1;Data Source=$Workbook$;Location=A2020;Extended Properties=&quot;&quot;">
            <x15:dbTables>
              <x15:dbTable name="A2020"/>
            </x15:dbTables>
          </x15:oledbPr>
        </x15:connection>
      </ext>
    </extLst>
  </connection>
  <connection id="4" xr16:uid="{6FBDF8CF-1765-47DE-9AE2-8A47849D9608}" keepAlive="1" name="Consulta - A2021" description="Conexión a la consulta 'A2021' en el libro." type="5" refreshedVersion="0" background="1">
    <dbPr connection="Provider=Microsoft.Mashup.OleDb.1;Data Source=$Workbook$;Location=A2021;Extended Properties=" command="SELECT * FROM [A2021]"/>
  </connection>
  <connection id="5" xr16:uid="{F61D3613-8228-43D4-8F81-3710D7184DD4}" name="Consulta - IF" description="Conexión a la consulta 'IF' en el libro." type="100" refreshedVersion="7" minRefreshableVersion="5">
    <extLst>
      <ext xmlns:x15="http://schemas.microsoft.com/office/spreadsheetml/2010/11/main" uri="{DE250136-89BD-433C-8126-D09CA5730AF9}">
        <x15:connection id="73428fce-5282-42e4-8101-4047cc982b09"/>
      </ext>
    </extLst>
  </connection>
  <connection id="6" xr16:uid="{308CABE3-99CC-429C-BB46-184DE8BE8001}" name="Consulta - poblacion_postgrado" description="Conexión a la consulta 'poblacion_postgrado' en el libro." type="100" refreshedVersion="7" minRefreshableVersion="5">
    <extLst>
      <ext xmlns:x15="http://schemas.microsoft.com/office/spreadsheetml/2010/11/main" uri="{DE250136-89BD-433C-8126-D09CA5730AF9}">
        <x15:connection id="489a0342-2be8-4650-8b91-ef4663311d64"/>
      </ext>
    </extLst>
  </connection>
  <connection id="7" xr16:uid="{E4244C1E-3ED2-4366-BDB3-D3D9E3BB572A}" name="Consulta - poblacion_pregrado" description="Conexión a la consulta 'poblacion_pregrado' en el libro." type="100" refreshedVersion="6" minRefreshableVersion="5">
    <extLst>
      <ext xmlns:x15="http://schemas.microsoft.com/office/spreadsheetml/2010/11/main" uri="{DE250136-89BD-433C-8126-D09CA5730AF9}">
        <x15:connection id="0c5d6e7a-efa7-4117-ba95-677b27f0ca2f"/>
      </ext>
    </extLst>
  </connection>
  <connection id="8" xr16:uid="{DF6C8E03-242A-481A-BA4B-0FDF159419E1}" keepAlive="1" name="ThisWorkbookDataModel" description="Modelo de datos" type="5" refreshedVersion="7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7">
    <s v="ThisWorkbookDataModel"/>
    <s v="{[IF].[nombre_metodologia].&amp;[VIRTUAL]}"/>
    <s v="{[IF].[departamento_jerarquia2].[All]}"/>
    <s v="{[IF].[proyecto].&amp;[GL0000000000963]}"/>
    <s v="{[IF].[tipo_departamento].&amp;[EDUCACION CONTINUA]}"/>
    <s v="{[IF].[tipo_departamento].[All]}"/>
    <s v="{[IF].[departamento_jerarquia1].&amp;[281]}"/>
  </metadataStrings>
  <mdxMetadata count="6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</mdx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<sst xmlns="http://schemas.openxmlformats.org/spreadsheetml/2006/main" count="4124" uniqueCount="1090">
  <si>
    <t>departamento_jerarquia1</t>
  </si>
  <si>
    <t>All</t>
  </si>
  <si>
    <t>1166</t>
  </si>
  <si>
    <t>1176</t>
  </si>
  <si>
    <t>1186</t>
  </si>
  <si>
    <t>1191</t>
  </si>
  <si>
    <t>1195</t>
  </si>
  <si>
    <t>1199</t>
  </si>
  <si>
    <t>120</t>
  </si>
  <si>
    <t>1200</t>
  </si>
  <si>
    <t>1201</t>
  </si>
  <si>
    <t>1202</t>
  </si>
  <si>
    <t>1203</t>
  </si>
  <si>
    <t>1204</t>
  </si>
  <si>
    <t>1205</t>
  </si>
  <si>
    <t>1211</t>
  </si>
  <si>
    <t>1212</t>
  </si>
  <si>
    <t>1215</t>
  </si>
  <si>
    <t>1217</t>
  </si>
  <si>
    <t>1223</t>
  </si>
  <si>
    <t>1238</t>
  </si>
  <si>
    <t>1242</t>
  </si>
  <si>
    <t>1250</t>
  </si>
  <si>
    <t>1255</t>
  </si>
  <si>
    <t>133</t>
  </si>
  <si>
    <t>141</t>
  </si>
  <si>
    <t>143</t>
  </si>
  <si>
    <t>1433</t>
  </si>
  <si>
    <t>152</t>
  </si>
  <si>
    <t>153</t>
  </si>
  <si>
    <t>216</t>
  </si>
  <si>
    <t>217</t>
  </si>
  <si>
    <t>27</t>
  </si>
  <si>
    <t>29</t>
  </si>
  <si>
    <t>33</t>
  </si>
  <si>
    <t>372</t>
  </si>
  <si>
    <t>411</t>
  </si>
  <si>
    <t>418</t>
  </si>
  <si>
    <t>423</t>
  </si>
  <si>
    <t>43</t>
  </si>
  <si>
    <t>435</t>
  </si>
  <si>
    <t>447</t>
  </si>
  <si>
    <t>46</t>
  </si>
  <si>
    <t>471</t>
  </si>
  <si>
    <t>48</t>
  </si>
  <si>
    <t>480</t>
  </si>
  <si>
    <t>482</t>
  </si>
  <si>
    <t>495</t>
  </si>
  <si>
    <t>498</t>
  </si>
  <si>
    <t>52</t>
  </si>
  <si>
    <t>524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</si>
  <si>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</si>
  <si>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</si>
  <si>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</si>
  <si>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</si>
  <si>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</si>
  <si>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</si>
  <si>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</si>
  <si>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</si>
  <si>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</si>
  <si>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</si>
  <si>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546</t>
  </si>
  <si>
    <t>552</t>
  </si>
  <si>
    <t>56</t>
  </si>
  <si>
    <t>561</t>
  </si>
  <si>
    <t>564</t>
  </si>
  <si>
    <t>565</t>
  </si>
  <si>
    <t>566</t>
  </si>
  <si>
    <t>567</t>
  </si>
  <si>
    <t>568</t>
  </si>
  <si>
    <t>569</t>
  </si>
  <si>
    <t>570</t>
  </si>
  <si>
    <t>571</t>
  </si>
  <si>
    <t>582</t>
  </si>
  <si>
    <t>591</t>
  </si>
  <si>
    <t>597</t>
  </si>
  <si>
    <t>599</t>
  </si>
  <si>
    <t>600</t>
  </si>
  <si>
    <t>601</t>
  </si>
  <si>
    <t>603</t>
  </si>
  <si>
    <t>613</t>
  </si>
  <si>
    <t>614</t>
  </si>
  <si>
    <t>616</t>
  </si>
  <si>
    <t>617</t>
  </si>
  <si>
    <t>618</t>
  </si>
  <si>
    <t>619</t>
  </si>
  <si>
    <t>620</t>
  </si>
  <si>
    <t>622</t>
  </si>
  <si>
    <t>623</t>
  </si>
  <si>
    <t>661</t>
  </si>
  <si>
    <t>666</t>
  </si>
  <si>
    <t>673</t>
  </si>
  <si>
    <t>674</t>
  </si>
  <si>
    <t>698</t>
  </si>
  <si>
    <t>742</t>
  </si>
  <si>
    <t>749</t>
  </si>
  <si>
    <t>801</t>
  </si>
  <si>
    <t>916</t>
  </si>
  <si>
    <t>922</t>
  </si>
  <si>
    <t>968</t>
  </si>
  <si>
    <t>BECAS Y DESCUENTOS</t>
  </si>
  <si>
    <t>CONSULTORIA</t>
  </si>
  <si>
    <t>COSTO DE VENTAS</t>
  </si>
  <si>
    <t>DEPRECIACION</t>
  </si>
  <si>
    <t>DONACIONES</t>
  </si>
  <si>
    <t>EDUCACION CONTINUA</t>
  </si>
  <si>
    <t>GASTOS DE PERSONAL</t>
  </si>
  <si>
    <t>GASTOS FINANCIEROS</t>
  </si>
  <si>
    <t>GASTOS GENERALES</t>
  </si>
  <si>
    <t>GASTOS INTERNOS</t>
  </si>
  <si>
    <t>GASTOS NO OPER</t>
  </si>
  <si>
    <t>HONORARIOS Y SERVICIOS</t>
  </si>
  <si>
    <t>INGRESOS FINANCIEROS</t>
  </si>
  <si>
    <t>INGRESOS INTERNOS</t>
  </si>
  <si>
    <t>INGRESOS NO OPER.</t>
  </si>
  <si>
    <t>MANTENIMIENTO</t>
  </si>
  <si>
    <t>OTROS DERECHOS</t>
  </si>
  <si>
    <t>OTROS INGRESOS</t>
  </si>
  <si>
    <t>POSTGRADO</t>
  </si>
  <si>
    <t>PREGRADO</t>
  </si>
  <si>
    <t>SERVICIOS ACADEMIA</t>
  </si>
  <si>
    <t>SERVICIOS ESTUDIANTILES</t>
  </si>
  <si>
    <t>departamento_jerarquia2</t>
  </si>
  <si>
    <t>grupo_analisis</t>
  </si>
  <si>
    <t>mes</t>
  </si>
  <si>
    <t>ano</t>
  </si>
  <si>
    <t>informacion</t>
  </si>
  <si>
    <t>EJECUCION</t>
  </si>
  <si>
    <t>PRESUPUESTO</t>
  </si>
  <si>
    <t>Suma de valor</t>
  </si>
  <si>
    <t>cuenta_ppto</t>
  </si>
  <si>
    <t>4160350002</t>
  </si>
  <si>
    <t>7417010001</t>
  </si>
  <si>
    <t>7417010002</t>
  </si>
  <si>
    <t>7417010003</t>
  </si>
  <si>
    <t>7417010004</t>
  </si>
  <si>
    <t>7417010005</t>
  </si>
  <si>
    <t>7417010006</t>
  </si>
  <si>
    <t>7417010007</t>
  </si>
  <si>
    <t>7417010008</t>
  </si>
  <si>
    <t>7417010009</t>
  </si>
  <si>
    <t>7417010010</t>
  </si>
  <si>
    <t>7417010011</t>
  </si>
  <si>
    <t>7417010012</t>
  </si>
  <si>
    <t>7417010013</t>
  </si>
  <si>
    <t>7417010014</t>
  </si>
  <si>
    <t>7518010001</t>
  </si>
  <si>
    <t>7518010002</t>
  </si>
  <si>
    <t>7518010003</t>
  </si>
  <si>
    <t>7518010004</t>
  </si>
  <si>
    <t>7518010005</t>
  </si>
  <si>
    <t>7518010007</t>
  </si>
  <si>
    <t>7518010008</t>
  </si>
  <si>
    <t>7518010009</t>
  </si>
  <si>
    <t>7518010010</t>
  </si>
  <si>
    <t>7518010011</t>
  </si>
  <si>
    <t>7518010012</t>
  </si>
  <si>
    <t>7518010013</t>
  </si>
  <si>
    <t>7518010014</t>
  </si>
  <si>
    <t>7518010015</t>
  </si>
  <si>
    <t>7518010016</t>
  </si>
  <si>
    <t>7518010017</t>
  </si>
  <si>
    <t>7518010018</t>
  </si>
  <si>
    <t>7518010019</t>
  </si>
  <si>
    <t>nombre_cuenta</t>
  </si>
  <si>
    <t>VACACIONALES</t>
  </si>
  <si>
    <t>PARTI CLINICA UNISABANA</t>
  </si>
  <si>
    <t>INGRESOS SERVICIOS ACADEMICOS</t>
  </si>
  <si>
    <t>INGRESOS SERVICIOS ADTVOS</t>
  </si>
  <si>
    <t>INGRESOS POR CAFETERIA INT</t>
  </si>
  <si>
    <t>INGRESOS PARQUEADEROS INT</t>
  </si>
  <si>
    <t>INGRESOS LIBRERIA INT</t>
  </si>
  <si>
    <t>INGRESOS PUBLICACIONES INT</t>
  </si>
  <si>
    <t>APORTE FONDO ESPECIAL</t>
  </si>
  <si>
    <t>INGRESOS INTERESES INT</t>
  </si>
  <si>
    <t>INGRESOS PUBLICIDAD PROMO INT</t>
  </si>
  <si>
    <t>INGRESOS ARRENDAMIENTOS INT</t>
  </si>
  <si>
    <t>INGRESOS SERV PUBLICOS INT</t>
  </si>
  <si>
    <t>INGRESOS DEPRECIACION INT</t>
  </si>
  <si>
    <t>INGRESOS SUSCR Y REVISTAS INT</t>
  </si>
  <si>
    <t>INGRESOS SERV ACAD Y ADMIN INT</t>
  </si>
  <si>
    <t>GASTOS SERVICIOS ACADEMICOS</t>
  </si>
  <si>
    <t>CAPACITACION AL PERSONAL INT</t>
  </si>
  <si>
    <t>AJUSTES GASTO DE PERSONAL</t>
  </si>
  <si>
    <t>AJUSTES GASTOS GENERALES</t>
  </si>
  <si>
    <t>AJUSTES GASTOS BIENESTAR</t>
  </si>
  <si>
    <t>GASTOS LIBRERIA INT</t>
  </si>
  <si>
    <t>SUSCRIPCIONES Y REVISTAS INT</t>
  </si>
  <si>
    <t>GASTO SERVICIOS ADTVOS</t>
  </si>
  <si>
    <t>GASTOS ARRENDAMIENTOS INT</t>
  </si>
  <si>
    <t>SERVICIOS PUBLICOS INT</t>
  </si>
  <si>
    <t>DEPRECIA Y AMORTIZACIONES INT</t>
  </si>
  <si>
    <t>GASTOS POR CAFETERIA INT</t>
  </si>
  <si>
    <t>PARQUEADEROS INT</t>
  </si>
  <si>
    <t>PUBLICIDAD PROMOCION INT</t>
  </si>
  <si>
    <t>FONDO ESPECIAL</t>
  </si>
  <si>
    <t>GASTOS INTERESES INT</t>
  </si>
  <si>
    <t>GASTOS DE COMISIONES INT</t>
  </si>
  <si>
    <t>GASTOS SERV ACAD Y ADMIN</t>
  </si>
  <si>
    <t>CUENTAS INTERNAS</t>
  </si>
  <si>
    <t>24</t>
  </si>
  <si>
    <t>Año</t>
  </si>
  <si>
    <t>Mes</t>
  </si>
  <si>
    <t>INGRESOS OPERACIONAL.</t>
  </si>
  <si>
    <t>SEGUROS</t>
  </si>
  <si>
    <t>IMPUESTOS</t>
  </si>
  <si>
    <t>PROVISION</t>
  </si>
  <si>
    <t>GASTOS OPERACIONALES</t>
  </si>
  <si>
    <t>MARGEN OPERACIONAL</t>
  </si>
  <si>
    <t>INGRESOS NO OPERAC.</t>
  </si>
  <si>
    <t>GASTOS NO OPERERACIO.</t>
  </si>
  <si>
    <t>MARGEN NO OPERACIO.</t>
  </si>
  <si>
    <t>MARGEN</t>
  </si>
  <si>
    <t>%</t>
  </si>
  <si>
    <t>EDUCACION CONTINUA VIRTUAL</t>
  </si>
  <si>
    <t>PROY ESPECIALES</t>
  </si>
  <si>
    <t>DEPARTAMENTOS</t>
  </si>
  <si>
    <t>ADMINISTRACION</t>
  </si>
  <si>
    <t>TOTAL FACULTAD</t>
  </si>
  <si>
    <t>3</t>
  </si>
  <si>
    <t>id</t>
  </si>
  <si>
    <t>departamento_padre</t>
  </si>
  <si>
    <t>departamento_hijo</t>
  </si>
  <si>
    <t>tipo_departamento</t>
  </si>
  <si>
    <t>10</t>
  </si>
  <si>
    <t>12</t>
  </si>
  <si>
    <t>16</t>
  </si>
  <si>
    <t>18</t>
  </si>
  <si>
    <t>22</t>
  </si>
  <si>
    <t>238</t>
  </si>
  <si>
    <t>28</t>
  </si>
  <si>
    <t>281</t>
  </si>
  <si>
    <t>282</t>
  </si>
  <si>
    <t>284</t>
  </si>
  <si>
    <t>286</t>
  </si>
  <si>
    <t>593</t>
  </si>
  <si>
    <t>8</t>
  </si>
  <si>
    <t>819</t>
  </si>
  <si>
    <t>559</t>
  </si>
  <si>
    <t>710</t>
  </si>
  <si>
    <t>668</t>
  </si>
  <si>
    <t>665</t>
  </si>
  <si>
    <t>680</t>
  </si>
  <si>
    <t>659</t>
  </si>
  <si>
    <t>671</t>
  </si>
  <si>
    <t>699</t>
  </si>
  <si>
    <t>663</t>
  </si>
  <si>
    <t>660</t>
  </si>
  <si>
    <t>667</t>
  </si>
  <si>
    <t>500</t>
  </si>
  <si>
    <t>7518010006</t>
  </si>
  <si>
    <t>REAL</t>
  </si>
  <si>
    <t>Indicadores (mm$)</t>
  </si>
  <si>
    <t>Mat. Pregrado</t>
  </si>
  <si>
    <t>Mat. Postgrado</t>
  </si>
  <si>
    <t>Mat. Total</t>
  </si>
  <si>
    <t>Ing x Matrícula</t>
  </si>
  <si>
    <t>Gto x Matrícula</t>
  </si>
  <si>
    <t>Margen x Matríc</t>
  </si>
  <si>
    <t>Ing. Preg x Mat.</t>
  </si>
  <si>
    <t>Becas Pregrado</t>
  </si>
  <si>
    <t>Ing. Post x Mat.</t>
  </si>
  <si>
    <t>Becas Postgrado</t>
  </si>
  <si>
    <t>Gto Perso x Mat</t>
  </si>
  <si>
    <t>Ingresos</t>
  </si>
  <si>
    <t>Gastos</t>
  </si>
  <si>
    <t>Margen</t>
  </si>
  <si>
    <t>Estructura Vertical Ingresos</t>
  </si>
  <si>
    <t>Pregrado</t>
  </si>
  <si>
    <t>Postgrado (pres)</t>
  </si>
  <si>
    <t>Postgrado (virt)</t>
  </si>
  <si>
    <t>Ed. Cont (pres)</t>
  </si>
  <si>
    <t>Ed. Cont (virt)</t>
  </si>
  <si>
    <t>Vacacionales</t>
  </si>
  <si>
    <t>Proy Esp</t>
  </si>
  <si>
    <t>Otros Ing</t>
  </si>
  <si>
    <t>Estructura Vertical Gastos</t>
  </si>
  <si>
    <t>Gto.Person / Ing</t>
  </si>
  <si>
    <t>Gto Innova / Ing</t>
  </si>
  <si>
    <t>Gto Int /Ing</t>
  </si>
  <si>
    <t>Margen /Ing</t>
  </si>
  <si>
    <t>FACULTAD DE PSICOLOGIA</t>
  </si>
  <si>
    <t>Real</t>
  </si>
  <si>
    <t>Ppto</t>
  </si>
  <si>
    <t>Proy</t>
  </si>
  <si>
    <t>Variación</t>
  </si>
  <si>
    <t xml:space="preserve"> - MAT. PREGRADO</t>
  </si>
  <si>
    <t xml:space="preserve"> - BECAS PREGRADO</t>
  </si>
  <si>
    <t>MAT. NETAS PREGRADO</t>
  </si>
  <si>
    <t>% BECAS</t>
  </si>
  <si>
    <t>MAT. NETAS POSTGRADO</t>
  </si>
  <si>
    <t>VACIONALES</t>
  </si>
  <si>
    <t>PROYECTOS ESPECIALES</t>
  </si>
  <si>
    <t>OTROS INGRESOS ACADEMICOS</t>
  </si>
  <si>
    <t>GENERACION NUEVOS INGRESOS</t>
  </si>
  <si>
    <t>TOTAL INGRESOS</t>
  </si>
  <si>
    <t>PERSONAL</t>
  </si>
  <si>
    <t xml:space="preserve"> - COBROS ENTRE UNIDADES</t>
  </si>
  <si>
    <t xml:space="preserve"> - BIBLIOTECA</t>
  </si>
  <si>
    <t xml:space="preserve"> - ARRENDAMIENTO Y SERVICIOS</t>
  </si>
  <si>
    <t xml:space="preserve"> - DEPRECIACION</t>
  </si>
  <si>
    <t xml:space="preserve"> - PUBLICIDAD</t>
  </si>
  <si>
    <t>GTOS EDUCONTINUA Y PROY ESP</t>
  </si>
  <si>
    <t>GASTOS DE INNOVACIÓN</t>
  </si>
  <si>
    <t>TOTAL GASTOS</t>
  </si>
  <si>
    <t>MARGEN DE CONTRIBUCION</t>
  </si>
  <si>
    <t>nombre_metodologia</t>
  </si>
  <si>
    <t>VIRTUAL</t>
  </si>
  <si>
    <t>POSTGRADO VIRTUAL</t>
  </si>
  <si>
    <t>PROYECCION</t>
  </si>
  <si>
    <t>% Proy</t>
  </si>
  <si>
    <t>PPTO REAL</t>
  </si>
  <si>
    <t>PROY REAL</t>
  </si>
  <si>
    <t xml:space="preserve"> - SERVICIOS ACAD Y ADMIN</t>
  </si>
  <si>
    <t>GASTOS DE VIAJE</t>
  </si>
  <si>
    <t>PRACTICAS ESTUDIANTES</t>
  </si>
  <si>
    <t>ESCUELA INTERNACIONAL DE CIENCIAS ECONOMICAS Y ADMINISTRATIVAS</t>
  </si>
  <si>
    <t>FACULTAD DE COMUNICACION</t>
  </si>
  <si>
    <t>FACULTAD DE DERECHO Y CIENC POLITICAS</t>
  </si>
  <si>
    <t>FACULTAD DE EDUCACION</t>
  </si>
  <si>
    <t>FACULTAD DE ENFERMERIA Y REHABILITACION</t>
  </si>
  <si>
    <t>FACULTAD DE INGENIERIA</t>
  </si>
  <si>
    <t>FACULTAD DE MEDICINA</t>
  </si>
  <si>
    <t>FACULTAD DE FILSOFIA Y CIENCIAS HUMANAS</t>
  </si>
  <si>
    <t>INSTITUTO DE LA FAMILIA</t>
  </si>
  <si>
    <t>CENTRO TECNOLOGIAS PARA LA ACADEMIA</t>
  </si>
  <si>
    <t>DEPARTAMENTO DE LENGUAS EXTRANJERAS</t>
  </si>
  <si>
    <t>INSTITUTO FORUM</t>
  </si>
  <si>
    <t>dpto</t>
  </si>
  <si>
    <t>nombre_dpto</t>
  </si>
  <si>
    <t>proyecto</t>
  </si>
  <si>
    <t>GL0000000000963</t>
  </si>
  <si>
    <t>ipc</t>
  </si>
  <si>
    <t>ipc_acumulado</t>
  </si>
  <si>
    <t>Pesos Corrientes</t>
  </si>
  <si>
    <t>Pesos Constantes</t>
  </si>
  <si>
    <t>tipo_moneda</t>
  </si>
  <si>
    <r>
      <rPr>
        <sz val="10"/>
        <color theme="1"/>
        <rFont val="Calibri"/>
        <family val="2"/>
      </rPr>
      <t>∆</t>
    </r>
    <r>
      <rPr>
        <sz val="10.4"/>
        <color theme="1"/>
        <rFont val="Calibri"/>
        <family val="2"/>
      </rPr>
      <t xml:space="preserve"> </t>
    </r>
    <r>
      <rPr>
        <sz val="10"/>
        <color theme="1"/>
        <rFont val="Calibri"/>
        <family val="2"/>
      </rPr>
      <t>Ingresos</t>
    </r>
  </si>
  <si>
    <r>
      <rPr>
        <sz val="10"/>
        <color theme="1"/>
        <rFont val="Calibri"/>
        <family val="2"/>
      </rPr>
      <t>∆</t>
    </r>
    <r>
      <rPr>
        <sz val="10.4"/>
        <color theme="1"/>
        <rFont val="Calibri"/>
        <family val="2"/>
      </rPr>
      <t xml:space="preserve"> </t>
    </r>
    <r>
      <rPr>
        <sz val="10"/>
        <color theme="1"/>
        <rFont val="Calibri"/>
        <family val="2"/>
      </rPr>
      <t>Gastos</t>
    </r>
  </si>
  <si>
    <t>fpe</t>
  </si>
  <si>
    <r>
      <t xml:space="preserve"> - MAT DE POSTGRADO </t>
    </r>
    <r>
      <rPr>
        <sz val="8"/>
        <color theme="1"/>
        <rFont val="Calibri"/>
        <family val="2"/>
        <scheme val="minor"/>
      </rPr>
      <t>(VIRTUAL)</t>
    </r>
  </si>
  <si>
    <r>
      <t xml:space="preserve"> - BECAS POSTGRADO </t>
    </r>
    <r>
      <rPr>
        <sz val="8"/>
        <color theme="1"/>
        <rFont val="Calibri"/>
        <family val="2"/>
        <scheme val="minor"/>
      </rPr>
      <t>(VIRTUAL)</t>
    </r>
  </si>
  <si>
    <r>
      <t xml:space="preserve"> - MAT DE POSTGRADO </t>
    </r>
    <r>
      <rPr>
        <sz val="8"/>
        <color theme="1"/>
        <rFont val="Calibri"/>
        <family val="2"/>
        <scheme val="minor"/>
      </rPr>
      <t>(PRESENCIAL)</t>
    </r>
  </si>
  <si>
    <r>
      <t xml:space="preserve"> - BECAS POSTGRADO </t>
    </r>
    <r>
      <rPr>
        <sz val="8"/>
        <color theme="1"/>
        <rFont val="Calibri"/>
        <family val="2"/>
        <scheme val="minor"/>
      </rPr>
      <t>(PRESENCIAL)</t>
    </r>
  </si>
  <si>
    <r>
      <t xml:space="preserve">EDU CONTINUA </t>
    </r>
    <r>
      <rPr>
        <sz val="8"/>
        <color theme="1"/>
        <rFont val="Calibri"/>
        <family val="2"/>
        <scheme val="minor"/>
      </rPr>
      <t>(VIRTUAL)</t>
    </r>
  </si>
  <si>
    <t>Total general</t>
  </si>
  <si>
    <t>Etiquetas de columna</t>
  </si>
  <si>
    <t>PROGRAMAS</t>
  </si>
  <si>
    <t>Suma de real</t>
  </si>
  <si>
    <t>Suma de real_nuevos</t>
  </si>
  <si>
    <t>Suma de real_antiguos</t>
  </si>
  <si>
    <t>POBLACION TOTAL</t>
  </si>
  <si>
    <t>POBLACION NUEVA</t>
  </si>
  <si>
    <t>POBLACION ANTIGUA</t>
  </si>
  <si>
    <t>Postgrado</t>
  </si>
  <si>
    <t>∆</t>
  </si>
  <si>
    <r>
      <rPr>
        <b/>
        <sz val="10"/>
        <color theme="1"/>
        <rFont val="Calibri"/>
        <family val="2"/>
      </rPr>
      <t>∆</t>
    </r>
    <r>
      <rPr>
        <b/>
        <sz val="10.4"/>
        <color theme="1"/>
        <rFont val="Calibri"/>
        <family val="2"/>
      </rPr>
      <t xml:space="preserve"> </t>
    </r>
    <r>
      <rPr>
        <b/>
        <sz val="10"/>
        <color theme="1"/>
        <rFont val="Calibri"/>
        <family val="2"/>
      </rPr>
      <t>Ing  - Gto</t>
    </r>
  </si>
  <si>
    <t>VARIACIONES ACUMULADAS</t>
  </si>
  <si>
    <t>GASTOS OTROS CAFETERIA INT</t>
  </si>
  <si>
    <t>7417010015</t>
  </si>
  <si>
    <t>7417010016</t>
  </si>
  <si>
    <t>INGRESOS OTROS CAFETERIA INT</t>
  </si>
  <si>
    <t>INGRESOS COMISIONES INT</t>
  </si>
  <si>
    <t>INTERNOS</t>
  </si>
  <si>
    <r>
      <rPr>
        <sz val="10"/>
        <color theme="1"/>
        <rFont val="Calibri"/>
        <family val="2"/>
      </rPr>
      <t>∆</t>
    </r>
    <r>
      <rPr>
        <sz val="10.4"/>
        <color theme="1"/>
        <rFont val="Calibri"/>
        <family val="2"/>
      </rPr>
      <t xml:space="preserve"> </t>
    </r>
    <r>
      <rPr>
        <sz val="10"/>
        <color theme="1"/>
        <rFont val="Calibri"/>
        <family val="2"/>
      </rPr>
      <t>Mat. Preg</t>
    </r>
  </si>
  <si>
    <r>
      <rPr>
        <sz val="10"/>
        <color theme="1"/>
        <rFont val="Calibri"/>
        <family val="2"/>
      </rPr>
      <t>∆</t>
    </r>
    <r>
      <rPr>
        <sz val="10.4"/>
        <color theme="1"/>
        <rFont val="Calibri"/>
        <family val="2"/>
      </rPr>
      <t xml:space="preserve"> </t>
    </r>
    <r>
      <rPr>
        <sz val="10"/>
        <color theme="1"/>
        <rFont val="Calibri"/>
        <family val="2"/>
      </rPr>
      <t>Mat. Post</t>
    </r>
  </si>
  <si>
    <t>Ing. Pregrado</t>
  </si>
  <si>
    <t xml:space="preserve"> - Matrículas</t>
  </si>
  <si>
    <t xml:space="preserve"> - Becas</t>
  </si>
  <si>
    <t>Ing. Postgrado</t>
  </si>
  <si>
    <t>Gto. Personal</t>
  </si>
  <si>
    <t>Nuevos</t>
  </si>
  <si>
    <t>Antiguos</t>
  </si>
  <si>
    <t>Total</t>
  </si>
  <si>
    <t>Pregrado (Neto)</t>
  </si>
  <si>
    <t>Gto Oper Mat</t>
  </si>
  <si>
    <t>Gto Total x Mat</t>
  </si>
  <si>
    <t>Gto Oper / Ing</t>
  </si>
  <si>
    <t>Ipc Acum</t>
  </si>
  <si>
    <t>Gto Personal</t>
  </si>
  <si>
    <t>Ingresos $</t>
  </si>
  <si>
    <t>Gastos $</t>
  </si>
  <si>
    <t>Margen $</t>
  </si>
  <si>
    <t>Mat Pre $</t>
  </si>
  <si>
    <t>Mat  Post $</t>
  </si>
  <si>
    <t>Becas Pre %</t>
  </si>
  <si>
    <t>Becas Post %</t>
  </si>
  <si>
    <t>Ing. Preg</t>
  </si>
  <si>
    <t>Ing. Post</t>
  </si>
  <si>
    <t>Gto Operac.</t>
  </si>
  <si>
    <t>Acumulada</t>
  </si>
  <si>
    <t xml:space="preserve"> - PLANTA y CATEDRA</t>
  </si>
  <si>
    <r>
      <t>ESTRUCTURA</t>
    </r>
    <r>
      <rPr>
        <sz val="11"/>
        <color theme="1"/>
        <rFont val="Calibri"/>
        <family val="2"/>
        <scheme val="minor"/>
      </rPr>
      <t xml:space="preserve"> (sobre Ingresos)</t>
    </r>
  </si>
  <si>
    <t>H1</t>
  </si>
  <si>
    <t>INCREM. MAT. PREGRADO</t>
  </si>
  <si>
    <t>BECAS PREGRADO</t>
  </si>
  <si>
    <t>POBLACION</t>
  </si>
  <si>
    <t>NUEVOS</t>
  </si>
  <si>
    <t>ANTIGUOS</t>
  </si>
  <si>
    <t>TOTAL</t>
  </si>
  <si>
    <t>Sem 1</t>
  </si>
  <si>
    <t>Sem 2</t>
  </si>
  <si>
    <t>Anual</t>
  </si>
  <si>
    <t>#</t>
  </si>
  <si>
    <r>
      <t xml:space="preserve">INCREM. MAT. POSTGRADO </t>
    </r>
    <r>
      <rPr>
        <b/>
        <sz val="8"/>
        <color theme="1"/>
        <rFont val="Calibri"/>
        <family val="2"/>
        <scheme val="minor"/>
      </rPr>
      <t>(PRES)</t>
    </r>
  </si>
  <si>
    <r>
      <t xml:space="preserve">BECAS POSTGRADO </t>
    </r>
    <r>
      <rPr>
        <b/>
        <sz val="8"/>
        <color theme="1"/>
        <rFont val="Calibri"/>
        <family val="2"/>
        <scheme val="minor"/>
      </rPr>
      <t>(PRES)</t>
    </r>
  </si>
  <si>
    <t>H2</t>
  </si>
  <si>
    <r>
      <t xml:space="preserve">INCREM. MAT. POSTGRADO </t>
    </r>
    <r>
      <rPr>
        <b/>
        <sz val="8"/>
        <color theme="1"/>
        <rFont val="Calibri"/>
        <family val="2"/>
        <scheme val="minor"/>
      </rPr>
      <t>(VIRTUAL)</t>
    </r>
  </si>
  <si>
    <r>
      <t xml:space="preserve">BECAS POSTGRADO </t>
    </r>
    <r>
      <rPr>
        <b/>
        <sz val="8"/>
        <color theme="1"/>
        <rFont val="Calibri"/>
        <family val="2"/>
        <scheme val="minor"/>
      </rPr>
      <t>(VIRTUAL)</t>
    </r>
  </si>
  <si>
    <t>INCR. EDU CONTINUA</t>
  </si>
  <si>
    <t>INGRESOS EDU CONT VIRTUAL</t>
  </si>
  <si>
    <t>INGRESOS PROYECTOS ESPECIALES</t>
  </si>
  <si>
    <t>INCR. CURSOS VACACIONALES</t>
  </si>
  <si>
    <t>INCR. OTROS INGRESOS ACAD.</t>
  </si>
  <si>
    <t>MATRICULAS</t>
  </si>
  <si>
    <t>APORTE FONDO PATRIMONIAL</t>
  </si>
  <si>
    <t>FONDO PATRIMONIAL</t>
  </si>
  <si>
    <t>H3</t>
  </si>
  <si>
    <t>GENERACION DE NUEVOS INGRESOS</t>
  </si>
  <si>
    <t>FONDO DE SOSTENIBILIDAD</t>
  </si>
  <si>
    <t>INCREM. GASTOS DE PERSONAL</t>
  </si>
  <si>
    <t>VAR. GASTOS GENERALES</t>
  </si>
  <si>
    <t>VAR. HONORARIOS Y SERVICIOS</t>
  </si>
  <si>
    <t>VAR. PRACTICAS ESTUDIANTES</t>
  </si>
  <si>
    <t>VAR. GASTOS DE VIAJE</t>
  </si>
  <si>
    <t>VAR. SERVICIOS ACADEMIA</t>
  </si>
  <si>
    <t>SERVICIOS INTERNOS</t>
  </si>
  <si>
    <t>SERV ACAD. ADMIN</t>
  </si>
  <si>
    <t xml:space="preserve"> - CAFETERIA, LIBRERÍA, PARQUEADERO</t>
  </si>
  <si>
    <t>CAFETERIA, LIBRERÍA, PARQUEADERO</t>
  </si>
  <si>
    <t>GASTOS INNOVACION</t>
  </si>
  <si>
    <t>∆ Ingresos</t>
  </si>
  <si>
    <t>∆ Gastos</t>
  </si>
  <si>
    <t>Marge</t>
  </si>
  <si>
    <t>PROG COMUNICACION CORPORATIVA</t>
  </si>
  <si>
    <t>PROG DE COM AUDVISUAL Y MULTIM</t>
  </si>
  <si>
    <t>PROG DE COMUNICACION SOCIAL</t>
  </si>
  <si>
    <t>101</t>
  </si>
  <si>
    <t>1133</t>
  </si>
  <si>
    <t>748</t>
  </si>
  <si>
    <t>ESP DLLO PERSONAL Y FAMILIAR</t>
  </si>
  <si>
    <t>MAE ASESORIA FAMILIAR Y GEST</t>
  </si>
  <si>
    <t>No. Cuenta Contable</t>
  </si>
  <si>
    <t>Nombre cuenta contable</t>
  </si>
  <si>
    <t>Grupo Analisis</t>
  </si>
  <si>
    <t>4160100000</t>
  </si>
  <si>
    <t>4160150000</t>
  </si>
  <si>
    <t>POSTGRADOS</t>
  </si>
  <si>
    <t>4160200000</t>
  </si>
  <si>
    <t>PREUNIVERSITARIOS</t>
  </si>
  <si>
    <t>4160300001</t>
  </si>
  <si>
    <t>EXAMENES DE SUFICIENCIA</t>
  </si>
  <si>
    <t>4160300002</t>
  </si>
  <si>
    <t>SUPLETORIOS Y VALIDACIONES</t>
  </si>
  <si>
    <t>4160300003</t>
  </si>
  <si>
    <t>DERECHOS DE GRADO</t>
  </si>
  <si>
    <t>4160300004</t>
  </si>
  <si>
    <t>CERTIFICADOS</t>
  </si>
  <si>
    <t>4160300005</t>
  </si>
  <si>
    <t>INGRESOS ACADEMICOS VARIOS</t>
  </si>
  <si>
    <t>4160300006</t>
  </si>
  <si>
    <t>DERECHOS DE INSCRIPCION</t>
  </si>
  <si>
    <t>4160300007</t>
  </si>
  <si>
    <t>MATRICULA EXTEMPORANEA</t>
  </si>
  <si>
    <t>4160300008</t>
  </si>
  <si>
    <t>SEMESTRE RECUP ACADEMICA</t>
  </si>
  <si>
    <t>4160350001</t>
  </si>
  <si>
    <t>CONGRESOS</t>
  </si>
  <si>
    <t>4160350003</t>
  </si>
  <si>
    <t>DIPLOMADOS</t>
  </si>
  <si>
    <t>4160350004</t>
  </si>
  <si>
    <t>ESPECIALES</t>
  </si>
  <si>
    <t>4160400001</t>
  </si>
  <si>
    <t>CENTRO DE SERVI PSICOLOGICOS</t>
  </si>
  <si>
    <t>4160400002</t>
  </si>
  <si>
    <t>INGRESOS ARRENDAMIENTOS</t>
  </si>
  <si>
    <t>4160450001</t>
  </si>
  <si>
    <t>CONSULTORIA EMPRESARIAL</t>
  </si>
  <si>
    <t>4160450002</t>
  </si>
  <si>
    <t>PROYECTOS DE INVESTIGACION</t>
  </si>
  <si>
    <t>4160450003</t>
  </si>
  <si>
    <t>INGRESOS PROYECTOS COLCIENCIAS</t>
  </si>
  <si>
    <t>4160500001</t>
  </si>
  <si>
    <t>INGRESOS POR CAFETERIA</t>
  </si>
  <si>
    <t>4160500002</t>
  </si>
  <si>
    <t>INGRESOS PARQUEADEROS</t>
  </si>
  <si>
    <t>4160500003</t>
  </si>
  <si>
    <t>INGRESOS LIBRERIA UNIVERSITARI</t>
  </si>
  <si>
    <t>4160500004</t>
  </si>
  <si>
    <t>INGRESOS POR PUBLICACIONES</t>
  </si>
  <si>
    <t>4160700001</t>
  </si>
  <si>
    <t>SERVICIOS DE SALUD CLINICA</t>
  </si>
  <si>
    <t>INGRESOS NO OPER</t>
  </si>
  <si>
    <t>4160700002</t>
  </si>
  <si>
    <t>OTRAS ACTIVIDADES RELACIONADAS</t>
  </si>
  <si>
    <t>4210050001</t>
  </si>
  <si>
    <t>INGRESOS INTERESES</t>
  </si>
  <si>
    <t>4210050002</t>
  </si>
  <si>
    <t>INGRESOS DIFERENCIA EN CAMBIO</t>
  </si>
  <si>
    <t>4210050003</t>
  </si>
  <si>
    <t>DESTOS CIALES CONDICIONADOS</t>
  </si>
  <si>
    <t>4210050004</t>
  </si>
  <si>
    <t>MULTAS Y RECARGOS</t>
  </si>
  <si>
    <t>4210050005</t>
  </si>
  <si>
    <t>SANCIONES CHEQUES DEVUELTOS</t>
  </si>
  <si>
    <t>4210050006</t>
  </si>
  <si>
    <t>RENDIMIENTO DE INVERSIONES</t>
  </si>
  <si>
    <t>4210050010</t>
  </si>
  <si>
    <t>RECONOCIMIENTO INTERESES CRED</t>
  </si>
  <si>
    <t>4218050005</t>
  </si>
  <si>
    <t>INV EN CLINICA UNISABANA</t>
  </si>
  <si>
    <t>4245050001</t>
  </si>
  <si>
    <t>UTIL. TERRENOS</t>
  </si>
  <si>
    <t>4245050002</t>
  </si>
  <si>
    <t>UTIL. EDIFICIOS</t>
  </si>
  <si>
    <t>4245050003</t>
  </si>
  <si>
    <t>UTIL. MUEBLES Y ENSERES</t>
  </si>
  <si>
    <t>4245050004</t>
  </si>
  <si>
    <t>UTIL. EQUIPO DE COMPUTO</t>
  </si>
  <si>
    <t>4245050005</t>
  </si>
  <si>
    <t>UTIL. EQUIPO DE COMUN ICACION</t>
  </si>
  <si>
    <t>4245050006</t>
  </si>
  <si>
    <t>UTIL. EQUIPO DE LABORATORIO</t>
  </si>
  <si>
    <t>4245050007</t>
  </si>
  <si>
    <t>UTIL. EQUIPO DE CAFETERIA</t>
  </si>
  <si>
    <t>4245050008</t>
  </si>
  <si>
    <t>UTIL. EQUIPO DE TRANSPORTE</t>
  </si>
  <si>
    <t>4245050009</t>
  </si>
  <si>
    <t>UTIL. MAQUINARIA Y EQUIPO</t>
  </si>
  <si>
    <t>4245050010</t>
  </si>
  <si>
    <t>UTIL. BIENES CULTURALES</t>
  </si>
  <si>
    <t>4250050001</t>
  </si>
  <si>
    <t>RECUP. DEUDAS CASTIGADAS</t>
  </si>
  <si>
    <t>4250050002</t>
  </si>
  <si>
    <t>RECUP. SEGUROS</t>
  </si>
  <si>
    <t>4250050003</t>
  </si>
  <si>
    <t>RECUP. DE PROVISIONES</t>
  </si>
  <si>
    <t>4250050004</t>
  </si>
  <si>
    <t>RECUP. DE DEPRECIACION</t>
  </si>
  <si>
    <t>4250050005</t>
  </si>
  <si>
    <t>REINT DE OTROS COSTOS Y GASTOS</t>
  </si>
  <si>
    <t>4295050001</t>
  </si>
  <si>
    <t>AUXILIOS</t>
  </si>
  <si>
    <t>4295050010</t>
  </si>
  <si>
    <t>PATROCINIOS Y PAUTAS PUBLICIT</t>
  </si>
  <si>
    <t>4295050015</t>
  </si>
  <si>
    <t>SOBRANTES DE CAJA</t>
  </si>
  <si>
    <t>4295050095</t>
  </si>
  <si>
    <t>VARIOS</t>
  </si>
  <si>
    <t>4305050001</t>
  </si>
  <si>
    <t>TASAS DE FINANCIACION</t>
  </si>
  <si>
    <t>4305050002</t>
  </si>
  <si>
    <t>DONACIONES EN EFECTIVO</t>
  </si>
  <si>
    <t>4305050003</t>
  </si>
  <si>
    <t>DONACIONES EN ESPECIE</t>
  </si>
  <si>
    <t>4305050004</t>
  </si>
  <si>
    <t>REC RECI POR ENT DE GOB Y PRIV</t>
  </si>
  <si>
    <t>4405050001</t>
  </si>
  <si>
    <t>VARI VR RAZO INTRU FINANC</t>
  </si>
  <si>
    <t>4405050002</t>
  </si>
  <si>
    <t>VARI VR RAZO PRO PLAN Y EQUI</t>
  </si>
  <si>
    <t>4405050003</t>
  </si>
  <si>
    <t>VARI VR RAZO PROP DE INVERS</t>
  </si>
  <si>
    <t>4810050001</t>
  </si>
  <si>
    <t>BECA UNIVERSIDAD</t>
  </si>
  <si>
    <t>4810050002</t>
  </si>
  <si>
    <t>DESCUENTOS ACADEMICOS</t>
  </si>
  <si>
    <t>4810050003</t>
  </si>
  <si>
    <t>DESCUENTOS EMPRESARIALES</t>
  </si>
  <si>
    <t>4810050004</t>
  </si>
  <si>
    <t>DESCUENTOS POR PRONTO PAGO</t>
  </si>
  <si>
    <t>4810050005</t>
  </si>
  <si>
    <t>DEVOLUCIONES</t>
  </si>
  <si>
    <t>4810050006</t>
  </si>
  <si>
    <t>DESCUENTOS MISIONES Y SALIDAS</t>
  </si>
  <si>
    <t>4810050007</t>
  </si>
  <si>
    <t>DESCUENTOS EVENTOS</t>
  </si>
  <si>
    <t>5105050000</t>
  </si>
  <si>
    <t>SALARIOS</t>
  </si>
  <si>
    <t>5105050003</t>
  </si>
  <si>
    <t>HORAS EXTRAS Y RECARGOS</t>
  </si>
  <si>
    <t>5105050004</t>
  </si>
  <si>
    <t>COMISIONES</t>
  </si>
  <si>
    <t>5105050006</t>
  </si>
  <si>
    <t>INCAPACIDADES</t>
  </si>
  <si>
    <t>5105050007</t>
  </si>
  <si>
    <t>AUXILIO DE TRANSPORTE</t>
  </si>
  <si>
    <t>5105050008</t>
  </si>
  <si>
    <t>BONIFICACIONES</t>
  </si>
  <si>
    <t>5105100000</t>
  </si>
  <si>
    <t>PRESTACIONES SOCIALES DIRECTAS</t>
  </si>
  <si>
    <t>5105150000</t>
  </si>
  <si>
    <t>APORTES PARAFISCALES Y SEG SOC</t>
  </si>
  <si>
    <t>5105200008</t>
  </si>
  <si>
    <t>PENSIONES DE JUBILACION</t>
  </si>
  <si>
    <t>5105200009</t>
  </si>
  <si>
    <t>INDEMNIZACIONES LABORALES</t>
  </si>
  <si>
    <t>5110050001</t>
  </si>
  <si>
    <t>ASESORES Y JURADOS</t>
  </si>
  <si>
    <t>5110050002</t>
  </si>
  <si>
    <t>PROFESORES</t>
  </si>
  <si>
    <t>5110050003</t>
  </si>
  <si>
    <t>PROFESORES VISITANTES</t>
  </si>
  <si>
    <t>5110050004</t>
  </si>
  <si>
    <t>TUTORIAS</t>
  </si>
  <si>
    <t>5110050005</t>
  </si>
  <si>
    <t>HONORARIOS Y ASESORIA TECNICA</t>
  </si>
  <si>
    <t>5115050001</t>
  </si>
  <si>
    <t>INDUSTRIA Y COMERCIO</t>
  </si>
  <si>
    <t>5115050002</t>
  </si>
  <si>
    <t>DE TIMBRES</t>
  </si>
  <si>
    <t>5115050003</t>
  </si>
  <si>
    <t>A LA PROPIEDAD RAIZ</t>
  </si>
  <si>
    <t>5115050004</t>
  </si>
  <si>
    <t>DE VALORIZACION</t>
  </si>
  <si>
    <t>5115050005</t>
  </si>
  <si>
    <t>DE VEHICULOS</t>
  </si>
  <si>
    <t>5115050006</t>
  </si>
  <si>
    <t>GRAVAM A LOS MOVIMI FINAN GMF</t>
  </si>
  <si>
    <t>5115050007</t>
  </si>
  <si>
    <t>IMPUESTOS DE VALLA</t>
  </si>
  <si>
    <t>5115050010</t>
  </si>
  <si>
    <t>IMPUESTO DE RENTA</t>
  </si>
  <si>
    <t>5115050025</t>
  </si>
  <si>
    <t>IMPUESTO DE CONSUMO</t>
  </si>
  <si>
    <t>5115050030</t>
  </si>
  <si>
    <t>IVA ASUMIDO</t>
  </si>
  <si>
    <t>5120050001</t>
  </si>
  <si>
    <t>ARR. CONSTRUCC Y EDIFICACIONES</t>
  </si>
  <si>
    <t>5120050002</t>
  </si>
  <si>
    <t>ARR. MAQUINARIA Y EQUIPO DE OF</t>
  </si>
  <si>
    <t>5120050003</t>
  </si>
  <si>
    <t>ARR. FLOTA Y EQ. DE TRANSPORTE</t>
  </si>
  <si>
    <t>5120050004</t>
  </si>
  <si>
    <t>HOSTING</t>
  </si>
  <si>
    <t>5125050001</t>
  </si>
  <si>
    <t>CONTRIBUCIONES</t>
  </si>
  <si>
    <t>5125050002</t>
  </si>
  <si>
    <t>AFILIACIONES Y SOSTENIMIENTO</t>
  </si>
  <si>
    <t>5125050003</t>
  </si>
  <si>
    <t>ACTUALIZACION SOFTWARE</t>
  </si>
  <si>
    <t>5130050001</t>
  </si>
  <si>
    <t>SEG. MANEJO</t>
  </si>
  <si>
    <t>5130050002</t>
  </si>
  <si>
    <t>SEG. CUMPLIMIENTO</t>
  </si>
  <si>
    <t>5130050003</t>
  </si>
  <si>
    <t>SEG. TODO RIESGO</t>
  </si>
  <si>
    <t>5130050004</t>
  </si>
  <si>
    <t>SEG. VIDA COLECTIVA</t>
  </si>
  <si>
    <t>5130050005</t>
  </si>
  <si>
    <t>SEG. FLOTA Y EQ. DE TRANSPORTE</t>
  </si>
  <si>
    <t>5135050001</t>
  </si>
  <si>
    <t>ASEO Y VIGILANCIA</t>
  </si>
  <si>
    <t>5135050002</t>
  </si>
  <si>
    <t>TEMPORALES</t>
  </si>
  <si>
    <t>5135050003</t>
  </si>
  <si>
    <t>MESEROS</t>
  </si>
  <si>
    <t>5135050004</t>
  </si>
  <si>
    <t>ADMINISTRATIVOS</t>
  </si>
  <si>
    <t>5135050005</t>
  </si>
  <si>
    <t>5135050006</t>
  </si>
  <si>
    <t>ESTUDIANTES PAT</t>
  </si>
  <si>
    <t>5135050007</t>
  </si>
  <si>
    <t>PUBLICIDAD</t>
  </si>
  <si>
    <t>5135050008</t>
  </si>
  <si>
    <t>ACUEDUCTO Y ALCANTARILLADO</t>
  </si>
  <si>
    <t>5135050009</t>
  </si>
  <si>
    <t>ENERGIA ELECTRICA</t>
  </si>
  <si>
    <t>5135050010</t>
  </si>
  <si>
    <t>TELEFONO</t>
  </si>
  <si>
    <t>5135050011</t>
  </si>
  <si>
    <t>INTERNET</t>
  </si>
  <si>
    <t>5135050012</t>
  </si>
  <si>
    <t>CORREO</t>
  </si>
  <si>
    <t>5135050013</t>
  </si>
  <si>
    <t>TRANSPORTE, FLETES Y ACARREOS</t>
  </si>
  <si>
    <t>5135050014</t>
  </si>
  <si>
    <t>GAS</t>
  </si>
  <si>
    <t>5135050015</t>
  </si>
  <si>
    <t>MONITORIAS</t>
  </si>
  <si>
    <t>5137050001</t>
  </si>
  <si>
    <t>LIBROS, SUSCRIP, PERI Y REVIST</t>
  </si>
  <si>
    <t>5137050002</t>
  </si>
  <si>
    <t>UTILES Y PAPELERIA DE OFICINA</t>
  </si>
  <si>
    <t>5137050003</t>
  </si>
  <si>
    <t>FOTOCOPIAS</t>
  </si>
  <si>
    <t>5137050004</t>
  </si>
  <si>
    <t>REVISTAS Y CUADERNILLOS</t>
  </si>
  <si>
    <t>5137050005</t>
  </si>
  <si>
    <t>ELEMENTOS DE LABORATORIO</t>
  </si>
  <si>
    <t>5137050006</t>
  </si>
  <si>
    <t>MATER DIDAC PARA DOCENCIA</t>
  </si>
  <si>
    <t>5137050007</t>
  </si>
  <si>
    <t>CASOS DE ESTUDIO</t>
  </si>
  <si>
    <t>5137050008</t>
  </si>
  <si>
    <t>SIMULACIONES</t>
  </si>
  <si>
    <t>5137050009</t>
  </si>
  <si>
    <t>ESCUELAS DEL EXTERIOR INALDE</t>
  </si>
  <si>
    <t>5140050001</t>
  </si>
  <si>
    <t>NOTARIALES</t>
  </si>
  <si>
    <t>5140050002</t>
  </si>
  <si>
    <t>REGISTRO MERCANTIL</t>
  </si>
  <si>
    <t>5140050003</t>
  </si>
  <si>
    <t>TRAMITES Y LICENCIAS</t>
  </si>
  <si>
    <t>5140050004</t>
  </si>
  <si>
    <t>ADUANEROS</t>
  </si>
  <si>
    <t>5140050005</t>
  </si>
  <si>
    <t>REGISTRO Y BENEFICENCIA</t>
  </si>
  <si>
    <t>5140050006</t>
  </si>
  <si>
    <t>OTROS GASTOS LEGALES</t>
  </si>
  <si>
    <t>5145050101</t>
  </si>
  <si>
    <t>MNTO TERRENOS</t>
  </si>
  <si>
    <t>5145050102</t>
  </si>
  <si>
    <t>MNTO CONSTRUCC Y EDIFICACIONES</t>
  </si>
  <si>
    <t>5145050103</t>
  </si>
  <si>
    <t>MNTO MAQUINARIA Y EQUIPO</t>
  </si>
  <si>
    <t>5145050104</t>
  </si>
  <si>
    <t>MNTO MUEBLES Y ENSERES</t>
  </si>
  <si>
    <t>5145050105</t>
  </si>
  <si>
    <t>MNTO EQUIPO DE TECNOLOGIA</t>
  </si>
  <si>
    <t>5145050106</t>
  </si>
  <si>
    <t>MNTO EQUIPO DE LABORATORIO</t>
  </si>
  <si>
    <t>5145050107</t>
  </si>
  <si>
    <t>MNTO EQ. DE CAFET Y RESTAURANT</t>
  </si>
  <si>
    <t>5145050108</t>
  </si>
  <si>
    <t>MNTO FLOTA Y EQ. DE TRANSPORTE</t>
  </si>
  <si>
    <t>5145050109</t>
  </si>
  <si>
    <t>MNTO SEMOVIENTES</t>
  </si>
  <si>
    <t>5145050110</t>
  </si>
  <si>
    <t>MNTO DECORACION</t>
  </si>
  <si>
    <t>5145050111</t>
  </si>
  <si>
    <t>MNTO CULTO RELIGIOSO</t>
  </si>
  <si>
    <t>5155050000</t>
  </si>
  <si>
    <t>ALOJAMIENTO PERSONAL NACIONAL</t>
  </si>
  <si>
    <t>5155050002</t>
  </si>
  <si>
    <t>ALOJAMIENTO PERSONAL EXTRANJER</t>
  </si>
  <si>
    <t>5155050003</t>
  </si>
  <si>
    <t>ALOJAMIENTO PROF TIEMPO PAR</t>
  </si>
  <si>
    <t>5155050004</t>
  </si>
  <si>
    <t>ALOJAMIENTO ESTUDIANTES</t>
  </si>
  <si>
    <t>5155150001</t>
  </si>
  <si>
    <t>PASAJES AEREOS PERSONAL NAL</t>
  </si>
  <si>
    <t>5155150002</t>
  </si>
  <si>
    <t>PASAJES AEREOS PERSONAL EXTRAN</t>
  </si>
  <si>
    <t>5155150003</t>
  </si>
  <si>
    <t>PASAJES AEREOS PROF TIEMPO PAR</t>
  </si>
  <si>
    <t>5155150004</t>
  </si>
  <si>
    <t>PASAJES AEREOS ESTUDIANTES</t>
  </si>
  <si>
    <t>5155200001</t>
  </si>
  <si>
    <t>PASAJES TERR PERSONAL NAL</t>
  </si>
  <si>
    <t>5155200002</t>
  </si>
  <si>
    <t>PASAJES TERR PERSONAL EXTRANJE</t>
  </si>
  <si>
    <t>5155200003</t>
  </si>
  <si>
    <t>PASAJES TERR PROF TIEMPO PAR</t>
  </si>
  <si>
    <t>5155200004</t>
  </si>
  <si>
    <t>PASAJES TERR ESTUDIANTES</t>
  </si>
  <si>
    <t>5160050001</t>
  </si>
  <si>
    <t>DEPRE CONSTRUCCIONES Y EDIFICA</t>
  </si>
  <si>
    <t>5160050002</t>
  </si>
  <si>
    <t>DEPRE MAQUINARIA Y EQUIPO</t>
  </si>
  <si>
    <t>5160050003</t>
  </si>
  <si>
    <t>DEPRE MUEBLES Y ENSERES</t>
  </si>
  <si>
    <t>5160050004</t>
  </si>
  <si>
    <t>DEPRE EQUIPO DE COMPUTO</t>
  </si>
  <si>
    <t>5160050005</t>
  </si>
  <si>
    <t>DEPRE EQ. TELECOMUNICACIONES</t>
  </si>
  <si>
    <t>5160050006</t>
  </si>
  <si>
    <t>DEPRE EQUIPO DE LABORATORIO</t>
  </si>
  <si>
    <t>5160050007</t>
  </si>
  <si>
    <t>DEPRE EQ. DE CAFET Y RESTAURAN</t>
  </si>
  <si>
    <t>5160050008</t>
  </si>
  <si>
    <t>DEPRE FLOTA Y EQ. DE TRANSPORT</t>
  </si>
  <si>
    <t>5160050009</t>
  </si>
  <si>
    <t>DEPRE BIENES BIBLIOGRAFICOS</t>
  </si>
  <si>
    <t>5160050010</t>
  </si>
  <si>
    <t>DEPRE BIENES CULTURALES</t>
  </si>
  <si>
    <t>5165050001</t>
  </si>
  <si>
    <t>SOFTWARE</t>
  </si>
  <si>
    <t>5165050005</t>
  </si>
  <si>
    <t>DERECHOS REALES SOBRE INMUE</t>
  </si>
  <si>
    <t>5165050010</t>
  </si>
  <si>
    <t>AMORTIZACIONES EN REMODELACION</t>
  </si>
  <si>
    <t>5170050001</t>
  </si>
  <si>
    <t>SALUD</t>
  </si>
  <si>
    <t>5170050002</t>
  </si>
  <si>
    <t>DESARROLLO HUMANO</t>
  </si>
  <si>
    <t>5170050003</t>
  </si>
  <si>
    <t>PROMOCION SOCIOECONOMICA</t>
  </si>
  <si>
    <t>5170050004</t>
  </si>
  <si>
    <t>CULTURA</t>
  </si>
  <si>
    <t>5170050005</t>
  </si>
  <si>
    <t>DEPORTES</t>
  </si>
  <si>
    <t>5170050006</t>
  </si>
  <si>
    <t>RECREACION</t>
  </si>
  <si>
    <t>5170050007</t>
  </si>
  <si>
    <t>CAPACITACION</t>
  </si>
  <si>
    <t>5170050008</t>
  </si>
  <si>
    <t>IMPLEMENTOS Y DOTACIONES</t>
  </si>
  <si>
    <t>5170050009</t>
  </si>
  <si>
    <t>CASINO Y RESTAURANTE</t>
  </si>
  <si>
    <t>5170050010</t>
  </si>
  <si>
    <t>DESAYUNOS</t>
  </si>
  <si>
    <t>5170050011</t>
  </si>
  <si>
    <t>ALMUERZOS</t>
  </si>
  <si>
    <t>5170050012</t>
  </si>
  <si>
    <t>REFRIGERIOS</t>
  </si>
  <si>
    <t>5170050013</t>
  </si>
  <si>
    <t>AYUDA AFECT PANDEMIA CATASTRO</t>
  </si>
  <si>
    <t>5195050001</t>
  </si>
  <si>
    <t>GASTOS COMISIONES</t>
  </si>
  <si>
    <t>5195050002</t>
  </si>
  <si>
    <t>REGALIAS POR DERECHOS DE AUTOR</t>
  </si>
  <si>
    <t>5195050003</t>
  </si>
  <si>
    <t>GASTOS DE REPRE Y RELACI PUBLI</t>
  </si>
  <si>
    <t>5195050004</t>
  </si>
  <si>
    <t>ELEMENTOS DE ASEO Y CAFETERIA</t>
  </si>
  <si>
    <t>5195050005</t>
  </si>
  <si>
    <t>COMBUSTIBLES Y LUBRICANTES</t>
  </si>
  <si>
    <t>5195050006</t>
  </si>
  <si>
    <t>TAXIS Y BUSES</t>
  </si>
  <si>
    <t>5195050007</t>
  </si>
  <si>
    <t>PARQUEADEROS</t>
  </si>
  <si>
    <t>5195050008</t>
  </si>
  <si>
    <t>INDEMNI POR DAÑOS A TERCEROS</t>
  </si>
  <si>
    <t>5195050009</t>
  </si>
  <si>
    <t>CONTRAPRESTACION BENEFACTORES</t>
  </si>
  <si>
    <t>5195050010</t>
  </si>
  <si>
    <t>IMPREVISTOS</t>
  </si>
  <si>
    <t>5195050015</t>
  </si>
  <si>
    <t>GASTOS DIVERSOS DE LA CLINICA</t>
  </si>
  <si>
    <t>5195050020</t>
  </si>
  <si>
    <t>AJUSTE AL PESO</t>
  </si>
  <si>
    <t>5196050001</t>
  </si>
  <si>
    <t>GASTOS PROYECTOS</t>
  </si>
  <si>
    <t>5199050001</t>
  </si>
  <si>
    <t>DETER INVENTARIOS</t>
  </si>
  <si>
    <t>5199050002</t>
  </si>
  <si>
    <t>DETER PROP PLANTA Y EQUIPO</t>
  </si>
  <si>
    <t>5199050010</t>
  </si>
  <si>
    <t>DETER DEUDORES</t>
  </si>
  <si>
    <t>5199050095</t>
  </si>
  <si>
    <t>OTRAS PROVISIONES</t>
  </si>
  <si>
    <t>5305050001</t>
  </si>
  <si>
    <t>GASTOS BANCARIOS</t>
  </si>
  <si>
    <t>5305050002</t>
  </si>
  <si>
    <t>COMISIONES FINANCIERAS</t>
  </si>
  <si>
    <t>5305050003</t>
  </si>
  <si>
    <t>GASTOS INTERESES</t>
  </si>
  <si>
    <t>5305050004</t>
  </si>
  <si>
    <t>GASTOS DIFERENCIA EN CAMBIO</t>
  </si>
  <si>
    <t>5305050005</t>
  </si>
  <si>
    <t>GASTOS CREDITOS UNIVERSIDAD</t>
  </si>
  <si>
    <t>5305050006</t>
  </si>
  <si>
    <t>COMISIONES ICETEX</t>
  </si>
  <si>
    <t>5310050001</t>
  </si>
  <si>
    <t>VENTA DE PROPIE, PLANTA Y EQUI</t>
  </si>
  <si>
    <t>5310050002</t>
  </si>
  <si>
    <t>RETI DE PROPIE, PLANTA Y EQUI</t>
  </si>
  <si>
    <t>5310050003</t>
  </si>
  <si>
    <t>RETIRO DE OTROS ACTIVOS</t>
  </si>
  <si>
    <t>5310050004</t>
  </si>
  <si>
    <t>PERDIDAS POR SINIESTROS</t>
  </si>
  <si>
    <t>5313050005</t>
  </si>
  <si>
    <t>5315050005</t>
  </si>
  <si>
    <t>COSTAS Y PROCESOS JUDICIALES</t>
  </si>
  <si>
    <t>5315050015</t>
  </si>
  <si>
    <t>COSTOS Y GTS DE EJERCI ANTERI</t>
  </si>
  <si>
    <t>5315050020</t>
  </si>
  <si>
    <t>IMPUESTOS ASUMIDOS</t>
  </si>
  <si>
    <t>5315050095</t>
  </si>
  <si>
    <t>OTROS GASTOS EXTRAORDINARIOS</t>
  </si>
  <si>
    <t>5395050005</t>
  </si>
  <si>
    <t>DEMANDAS LABORALES</t>
  </si>
  <si>
    <t>5395050010</t>
  </si>
  <si>
    <t>DEMAN POR INCUMPLI DE CONTR</t>
  </si>
  <si>
    <t>5395050015</t>
  </si>
  <si>
    <t>INDEMNIZACIONES</t>
  </si>
  <si>
    <t>5395050020</t>
  </si>
  <si>
    <t>MULTAS, SANCIONES Y LITIGIOS</t>
  </si>
  <si>
    <t>5395050030</t>
  </si>
  <si>
    <t>CONSTITUCION DE GARANTIAS</t>
  </si>
  <si>
    <t>5605050001</t>
  </si>
  <si>
    <t>VAR VR RAZ DE INSTRU FINANC</t>
  </si>
  <si>
    <t>6135050001</t>
  </si>
  <si>
    <t>VTA LIBR OTROS TIENDA UNIVERS</t>
  </si>
  <si>
    <t>6140050001</t>
  </si>
  <si>
    <t>RESTAURANTES</t>
  </si>
  <si>
    <t>POS INSTIT DE LA FAMILIA</t>
  </si>
  <si>
    <t>OTROS NEGOCIOS FAMILIA</t>
  </si>
  <si>
    <t>ASESORIA PERSONAL Y FAMILIAR</t>
  </si>
  <si>
    <t>APUNTES DE FAMILIA</t>
  </si>
  <si>
    <t>PROYECTOS SOCIALES - FAMILIA</t>
  </si>
  <si>
    <t>EDUCONTINUA INSTITUTO FAMILIA</t>
  </si>
  <si>
    <t>VACACIONALES INST FAMILIA</t>
  </si>
  <si>
    <t>DEPT INSTITUTO DE LA FAMILIA</t>
  </si>
  <si>
    <t>FAMILIA</t>
  </si>
  <si>
    <t>DINAMICA INTERNA DE LA FAMILIA</t>
  </si>
  <si>
    <t>FAMILIA Y CONTEXTOS</t>
  </si>
  <si>
    <t>AFECTIVIDAD Y SEXUALIDAD</t>
  </si>
  <si>
    <t>ADMINISTRACION INSTITU FAMILIA</t>
  </si>
  <si>
    <t>ADMON INSTITUTO DE LA FAMILIA</t>
  </si>
  <si>
    <t>ADMON POSGRADOS INSTIT FAMILIA</t>
  </si>
  <si>
    <t>ACTIVIDAD MISIONAL IFA</t>
  </si>
  <si>
    <t>PROYECCION INSTITUCIONAL</t>
  </si>
  <si>
    <t>PREGRADO CORE</t>
  </si>
  <si>
    <t>PREGRADO ELECTIVAS</t>
  </si>
  <si>
    <t>INVESTIGACION IFA</t>
  </si>
  <si>
    <t>Negocios</t>
  </si>
  <si>
    <t>Modelo_Ppto_Familia_Acad_2022</t>
  </si>
  <si>
    <t>Semestres</t>
  </si>
  <si>
    <t>2021-2</t>
  </si>
  <si>
    <t>2022-1</t>
  </si>
  <si>
    <t>2022-2</t>
  </si>
  <si>
    <t>1 (nuevos)</t>
  </si>
  <si>
    <t>Proyección de estudiantes Maestría en Asesoría Familiar y Gestión de PF</t>
  </si>
  <si>
    <t>Total de estudiantes Posgrados</t>
  </si>
  <si>
    <t>Proyección de estudiantes Especialización en Desarrollo Personal y Familiar</t>
  </si>
  <si>
    <t>Variable 1. Población</t>
  </si>
  <si>
    <t>nuevos</t>
  </si>
  <si>
    <t>antiguos</t>
  </si>
  <si>
    <t>2000 usd año como prescriptor</t>
  </si>
  <si>
    <t>336 USD anual como cliente</t>
  </si>
  <si>
    <t>Valor promedio pagado</t>
  </si>
  <si>
    <t>Variable 2. Educontinua</t>
  </si>
  <si>
    <t>FACULTAD</t>
  </si>
  <si>
    <t>TIPO</t>
  </si>
  <si>
    <t>PROGRAMA</t>
  </si>
  <si>
    <t>CREDITOS</t>
  </si>
  <si>
    <t>ESTUDIANTES X COHORTE</t>
  </si>
  <si>
    <t>COHORTES</t>
  </si>
  <si>
    <t>VALOR MATRICULA</t>
  </si>
  <si>
    <t>DESCUENTO PROMEDIO</t>
  </si>
  <si>
    <t>INGRESO UNIVERSIDAD</t>
  </si>
  <si>
    <t>COSTO PRODUCCIÓN</t>
  </si>
  <si>
    <t>AUTORIA</t>
  </si>
  <si>
    <t>MARKETING DIGITAL</t>
  </si>
  <si>
    <t>IMPLEMENTACIÓN</t>
  </si>
  <si>
    <t>TUTORIA</t>
  </si>
  <si>
    <t>TOTAL GASTOS PYG</t>
  </si>
  <si>
    <t>MARGEN PYG</t>
  </si>
  <si>
    <t>% MARGEN PYG</t>
  </si>
  <si>
    <t>INGRESO FACULTAD</t>
  </si>
  <si>
    <t>INGRESO SABANA E</t>
  </si>
  <si>
    <t>MARGEN UNIVERSIDAD</t>
  </si>
  <si>
    <t>% MARGEN UNIVERSIDAD</t>
  </si>
  <si>
    <t>IFA</t>
  </si>
  <si>
    <t>DIPLOMADO</t>
  </si>
  <si>
    <t>DINÁMICA EN FAMILIA</t>
  </si>
  <si>
    <t>AFECTIVIDAD Y SEXUALIDAD EN LA FAMILIA</t>
  </si>
  <si>
    <t>Proy 2021</t>
  </si>
  <si>
    <t>Proy 2022</t>
  </si>
  <si>
    <t>Variable 3. Proyectos de Innovación</t>
  </si>
  <si>
    <t>Demanda histórica de Asesoría del Modelo Creighton dentro del Consultorio de APyF del IFA</t>
  </si>
  <si>
    <t>Demanda promedio por año</t>
  </si>
  <si>
    <t>Esquema financiero del producto mínimo viable:</t>
  </si>
  <si>
    <t>106 parejas en los 3 últimos años con la referenciación (voz a voz) como el principal canal de promoción</t>
  </si>
  <si>
    <t>Segmentación de la demanda según motivo de compra del servicio</t>
  </si>
  <si>
    <t>Premisas</t>
  </si>
  <si>
    <t>Multiplicador de la demanda al implementar marketing mix</t>
  </si>
  <si>
    <t>x3 en promedio para los primeros dos años</t>
  </si>
  <si>
    <t>Programa</t>
  </si>
  <si>
    <t>Demanda e ingresos proyectados por servicio al año</t>
  </si>
  <si>
    <t xml:space="preserve">60% infertilidad, 40% espaciar el embarazo/ motivación moral/ dejar de tomar pastillas
20% de las parejas que consultan por infertilidad necesitan intervención quirúrgica </t>
  </si>
  <si>
    <t>Monitorea tu fertilidad</t>
  </si>
  <si>
    <t>Procrear</t>
  </si>
  <si>
    <t>Restaura tu fertilidad</t>
  </si>
  <si>
    <t>Demanda potencial</t>
  </si>
  <si>
    <t>Precio</t>
  </si>
  <si>
    <t>Explorar posibilidad de una Asesoría Personal al inicio con diagnostico para poder abrir ventana a la Asesoría Personal y Familia</t>
  </si>
  <si>
    <t>Margen de contribución</t>
  </si>
  <si>
    <t>Margen de operación</t>
  </si>
  <si>
    <t>Gastos de operación (arriendo, admon, publicidad y capacitación)</t>
  </si>
  <si>
    <t>Gastos de personal</t>
  </si>
  <si>
    <t>PyG</t>
  </si>
  <si>
    <t>Valor</t>
  </si>
  <si>
    <t>% sobre ingresos</t>
  </si>
  <si>
    <t>Inversión inicial</t>
  </si>
  <si>
    <t>Prototipado del negocio (incluye modelación financiera y estudio de mercado)</t>
  </si>
  <si>
    <t>Publicidad y promoción (ATL y BTL)</t>
  </si>
  <si>
    <t>Capacitación (40% de formación de un practitioner)</t>
  </si>
  <si>
    <t>Total inversión inicial</t>
  </si>
  <si>
    <t>3.1. Servicio de consultoría en materia de conciliación</t>
  </si>
  <si>
    <t>3.2. Juntos: Centro de cuidado natural de la fertilidad</t>
  </si>
  <si>
    <t>3.3. Actualización de la Especialización a formato virtual</t>
  </si>
  <si>
    <t>Gastos de virtualización</t>
  </si>
  <si>
    <t>3.4. NPS.</t>
  </si>
  <si>
    <t>3.6. Observatorios de familia</t>
  </si>
  <si>
    <t>Publicidad</t>
  </si>
  <si>
    <t>Diseño de plataformas tecnológicas</t>
  </si>
  <si>
    <t>Diseño gráfico de portafolio</t>
  </si>
  <si>
    <t>Item</t>
  </si>
  <si>
    <t>Inversión inicial (2021-2022)</t>
  </si>
  <si>
    <t>Formación de 4 consultores</t>
  </si>
  <si>
    <t>Periodo de amortización de la inversión</t>
  </si>
  <si>
    <t>3 años</t>
  </si>
  <si>
    <t>3 proyectos grandes al año o sus equivalentes en proyectos mas pequeños</t>
  </si>
  <si>
    <t>Proyectos al año</t>
  </si>
  <si>
    <t>PyG por proyecto</t>
  </si>
  <si>
    <t>Amortización anual de la inversión</t>
  </si>
  <si>
    <t>Tercer programa/ Intervención sociojurídica de la familia</t>
  </si>
  <si>
    <t>CURSO</t>
  </si>
  <si>
    <t>3.5. Impact Investing/ Fundraising</t>
  </si>
  <si>
    <t>No requiere inversión inicial.</t>
  </si>
  <si>
    <t>Diseño, prueba y validación del instrumento de caracterización de las familias de 3 municipios de  la Región Sábana Centro como insumo al Observatorio de Familias</t>
  </si>
  <si>
    <t>Gastos de representación</t>
  </si>
  <si>
    <t>3.7. Virtualización de MAYS y MAIJF</t>
  </si>
  <si>
    <t>Módulos en 2022</t>
  </si>
  <si>
    <t>Módulos en 2021</t>
  </si>
  <si>
    <t>Virtualización</t>
  </si>
  <si>
    <t>Honorarios</t>
  </si>
  <si>
    <t>% Número de módulos</t>
  </si>
  <si>
    <t>Número de módulos</t>
  </si>
  <si>
    <t>MAIJF</t>
  </si>
  <si>
    <t>MAYS</t>
  </si>
  <si>
    <t>Costo total virtualización + autoría</t>
  </si>
  <si>
    <t>Pago a E-learning por virtualización</t>
  </si>
  <si>
    <t>Honorarios de autorias</t>
  </si>
  <si>
    <t>Virtualización de programas</t>
  </si>
  <si>
    <t>3.1. Inversión inicial del Servicio de consultoría en materia de conciliación</t>
  </si>
  <si>
    <t>3.3. Cambio de la Especialización en Desarrollo Personal y Familiar a formato virtual</t>
  </si>
  <si>
    <t>3.5. PMV del proyecto Impact Investing/ Fundraising</t>
  </si>
  <si>
    <t>Resumen de presupuesto de proyectos de innovación del IFA</t>
  </si>
  <si>
    <t>3.2. Inversión de prototipado y promoción del PMV de Juntos: Centro de cuidado natural de la fertilidad</t>
  </si>
  <si>
    <r>
      <t xml:space="preserve">EDU CONTINUA </t>
    </r>
    <r>
      <rPr>
        <sz val="8"/>
        <color theme="1"/>
        <rFont val="Calibri"/>
        <family val="2"/>
        <scheme val="minor"/>
      </rPr>
      <t>(PRESENCIAL) /CONSULTORIO Y REVISTA</t>
    </r>
  </si>
  <si>
    <t>Nota: el IFA recibiría solo la porción correspondiente a la Asesoría en el modelo Creighton</t>
  </si>
  <si>
    <t>PPTO</t>
  </si>
  <si>
    <t>DEPARTAMENTO</t>
  </si>
  <si>
    <t>NOMBRE</t>
  </si>
  <si>
    <t>NIVEL</t>
  </si>
  <si>
    <t># Nivel</t>
  </si>
  <si>
    <t>TOTAL INSTITUTO DE LA FAMILIA</t>
  </si>
  <si>
    <t>SUBDIVISION</t>
  </si>
  <si>
    <t>UNIDAD</t>
  </si>
  <si>
    <t>716</t>
  </si>
  <si>
    <t>49</t>
  </si>
  <si>
    <t>496</t>
  </si>
  <si>
    <t>Ani</t>
  </si>
  <si>
    <t>Christian</t>
  </si>
  <si>
    <t>2021-1</t>
  </si>
  <si>
    <t>Valor matricula promedio Maestría</t>
  </si>
  <si>
    <t>Facturación 2021-1</t>
  </si>
  <si>
    <t>Facturación 2021-2</t>
  </si>
  <si>
    <t>Facturación 2021</t>
  </si>
  <si>
    <t>Facturación 2022-1</t>
  </si>
  <si>
    <t>Facturación 2022-2</t>
  </si>
  <si>
    <t>Proyecto</t>
  </si>
  <si>
    <t>Inversión</t>
  </si>
  <si>
    <t>Horizonte</t>
  </si>
  <si>
    <t>Variación 2022 vs 2021</t>
  </si>
  <si>
    <t>Producto o servicio</t>
  </si>
  <si>
    <t>Maestría en afectividad y sexualidad</t>
  </si>
  <si>
    <t>Apuntes de Familia</t>
  </si>
  <si>
    <t>Juntos: cuidado natural de la fertilidad (50%)</t>
  </si>
  <si>
    <t>Crecimiento en Educontinua</t>
  </si>
  <si>
    <t>Consultoría EFR</t>
  </si>
  <si>
    <t>Fundraising</t>
  </si>
  <si>
    <t>Proyectos de Innovación IFA 2021 - 2025</t>
  </si>
  <si>
    <t>1. Inversión inicial Maestría en afectividad y sexualidad</t>
  </si>
  <si>
    <t>2. Virtualización Maestría en asesoría jurídica e integral de la familia</t>
  </si>
  <si>
    <t>3. Inversión inicial del Servicio de consultoría EFR</t>
  </si>
  <si>
    <t>4. Inversión de prototipado y promoción del PMV de Juntos: Centro de cuidado natural de la fertilidad</t>
  </si>
  <si>
    <t>6. Nuevos diplomados y microcursos educontinua</t>
  </si>
  <si>
    <t>7. Observatorios de familia</t>
  </si>
  <si>
    <t>Tabla 1. Inversión en innovación solicitada en presupuesto 2022</t>
  </si>
  <si>
    <t>Maestría en asesoría jurídica e integral de la familia (70%)</t>
  </si>
  <si>
    <t>Observarios de Familia</t>
  </si>
  <si>
    <t>Tabla 2. Margen de contribución de proyectos en etapa de madurez (2024 - 2025)</t>
  </si>
  <si>
    <t>5. Fundraising</t>
  </si>
  <si>
    <t>VAR GTO PERSONAL</t>
  </si>
  <si>
    <t>(2021-2021)</t>
  </si>
  <si>
    <t xml:space="preserve"> - MAT DE ESPECIALIZACIÓN</t>
  </si>
  <si>
    <t xml:space="preserve"> - BECAS DE ESPECIALIZACIÓN</t>
  </si>
  <si>
    <t xml:space="preserve"> - MAT DE MAESTRÍA</t>
  </si>
  <si>
    <t xml:space="preserve"> - BECAS MAESTRÍA</t>
  </si>
  <si>
    <t>MAT. NETAS DE ESPECIALIZACIÓN (1)</t>
  </si>
  <si>
    <t>MAT. NETAS POSTGRADO (2)</t>
  </si>
  <si>
    <r>
      <t xml:space="preserve">EDU CONTINUA </t>
    </r>
    <r>
      <rPr>
        <sz val="8"/>
        <color theme="1"/>
        <rFont val="Calibri"/>
        <family val="2"/>
        <scheme val="minor"/>
      </rPr>
      <t>PRESENCIAL, CONSULTORIO Y REVISTA</t>
    </r>
    <r>
      <rPr>
        <sz val="11"/>
        <color theme="1"/>
        <rFont val="Calibri"/>
        <family val="2"/>
        <scheme val="minor"/>
      </rPr>
      <t xml:space="preserve"> (3)</t>
    </r>
  </si>
  <si>
    <r>
      <t xml:space="preserve">EDU CONTINUA </t>
    </r>
    <r>
      <rPr>
        <sz val="8"/>
        <color theme="1"/>
        <rFont val="Calibri"/>
        <family val="2"/>
        <scheme val="minor"/>
      </rPr>
      <t>(VIRTUAL)</t>
    </r>
    <r>
      <rPr>
        <sz val="11"/>
        <color theme="1"/>
        <rFont val="Calibri"/>
        <family val="2"/>
        <scheme val="minor"/>
      </rPr>
      <t xml:space="preserve"> (4)</t>
    </r>
  </si>
  <si>
    <t>VACIONALES (5)</t>
  </si>
  <si>
    <t>PROYECTOS ESPECIALES (6)</t>
  </si>
  <si>
    <t>OTROS INGRESOS ACADEMICOS (7)</t>
  </si>
  <si>
    <t xml:space="preserve"> - PLANTA y CATEDRA (8)</t>
  </si>
  <si>
    <t>HONORARIOS Y SERVICIOS (8)</t>
  </si>
  <si>
    <t>GASTOS GENERALES (9)</t>
  </si>
  <si>
    <t>GASTOS INTERNOS (10)</t>
  </si>
  <si>
    <t>GTOS EDUCONTINUA Y PROY ESP (11)</t>
  </si>
  <si>
    <t>Tabla 1. Presupuesto y ejecución 2021 vs presupuesto 2022</t>
  </si>
  <si>
    <t>INGRESOS</t>
  </si>
  <si>
    <t>GASTOS</t>
  </si>
  <si>
    <t>Nro Estudiantes Posgrados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</si>
</sst>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\ * #,##0.00_-;\-&quot;$&quot;\ * #,##0.00_-;_-&quot;$&quot;\ * &quot;-&quot;??_-;_-@_-"/>
    <numFmt numFmtId="164" formatCode="0.0%"/>
    <numFmt numFmtId="165" formatCode="#,##0.0"/>
    <numFmt numFmtId="166" formatCode="0.0%;[Red]\-0.0%"/>
    <numFmt numFmtId="167" formatCode="_-&quot;$&quot;* #,##0_-;\-&quot;$&quot;* #,##0_-;_-&quot;$&quot;* &quot;-&quot;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0.4"/>
      <color theme="1"/>
      <name val="Calibri"/>
      <family val="2"/>
    </font>
    <font>
      <sz val="10"/>
      <color theme="1"/>
      <name val="Calibri"/>
      <family val="2"/>
    </font>
    <font>
      <b/>
      <sz val="10"/>
      <color theme="4"/>
      <name val="Calibri"/>
      <family val="2"/>
      <scheme val="minor"/>
    </font>
    <font>
      <sz val="11"/>
      <color theme="1"/>
      <name val="Calibri"/>
      <family val="2"/>
    </font>
    <font>
      <b/>
      <sz val="8"/>
      <color theme="1"/>
      <name val="Calibri"/>
      <family val="2"/>
    </font>
    <font>
      <b/>
      <sz val="10"/>
      <color theme="1"/>
      <name val="Calibri"/>
      <family val="2"/>
    </font>
    <font>
      <b/>
      <sz val="10.4"/>
      <color theme="1"/>
      <name val="Calibri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sz val="1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0"/>
      <color rgb="FF00B0F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6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201F1E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201F1E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3"/>
      <color rgb="FF000000"/>
      <name val="Calibri"/>
      <family val="2"/>
    </font>
    <font>
      <sz val="13"/>
      <color rgb="FF000000"/>
      <name val="Calibri"/>
      <family val="2"/>
    </font>
    <font>
      <b/>
      <sz val="13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5E7FD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</fills>
  <borders count="69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 style="thin">
        <color theme="4"/>
      </top>
      <bottom style="hair">
        <color theme="4"/>
      </bottom>
      <diagonal/>
    </border>
    <border>
      <left/>
      <right/>
      <top style="hair">
        <color theme="4"/>
      </top>
      <bottom style="thin">
        <color theme="4"/>
      </bottom>
      <diagonal/>
    </border>
    <border>
      <left/>
      <right/>
      <top style="hair">
        <color theme="4"/>
      </top>
      <bottom style="hair">
        <color theme="4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4.9989318521683403E-2"/>
      </left>
      <right style="thin">
        <color theme="1" tint="0.499984740745262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0" tint="-4.9989318521683403E-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theme="0" tint="-4.9989318521683403E-2"/>
      </left>
      <right style="thin">
        <color theme="0" tint="-0.34998626667073579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 style="thin">
        <color theme="1" tint="0.499984740745262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0" tint="-4.9989318521683403E-2"/>
      </left>
      <right style="thin">
        <color theme="1" tint="0.499984740745262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4472C4"/>
      </left>
      <right style="medium">
        <color rgb="FF4472C4"/>
      </right>
      <top style="medium">
        <color rgb="FF4472C4"/>
      </top>
      <bottom style="medium">
        <color rgb="FF4472C4"/>
      </bottom>
      <diagonal/>
    </border>
    <border>
      <left/>
      <right/>
      <top/>
      <bottom style="medium">
        <color rgb="FF4472C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12" fillId="0" borderId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/>
  </cellStyleXfs>
  <cellXfs count="510">
    <xf numFmtId="0" fontId="0" fillId="0" borderId="0" xfId="0"/>
    <xf numFmtId="0" fontId="0" fillId="0" borderId="0" xfId="0" pivotButton="1"/>
    <xf numFmtId="0" fontId="2" fillId="0" borderId="0" xfId="0" applyFont="1"/>
    <xf numFmtId="38" fontId="0" fillId="0" borderId="0" xfId="0" applyNumberFormat="1"/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quotePrefix="1"/>
    <xf numFmtId="164" fontId="2" fillId="0" borderId="0" xfId="1" applyNumberFormat="1" applyFont="1" applyAlignment="1">
      <alignment horizontal="center"/>
    </xf>
    <xf numFmtId="0" fontId="0" fillId="0" borderId="0" xfId="0" applyFont="1"/>
    <xf numFmtId="38" fontId="0" fillId="2" borderId="0" xfId="0" applyNumberFormat="1" applyFill="1"/>
    <xf numFmtId="38" fontId="0" fillId="2" borderId="0" xfId="0" applyNumberFormat="1" applyFont="1" applyFill="1"/>
    <xf numFmtId="38" fontId="0" fillId="0" borderId="0" xfId="0" applyNumberFormat="1" applyFill="1"/>
    <xf numFmtId="38" fontId="0" fillId="3" borderId="0" xfId="0" applyNumberFormat="1" applyFill="1"/>
    <xf numFmtId="38" fontId="0" fillId="3" borderId="0" xfId="0" applyNumberFormat="1" applyFont="1" applyFill="1"/>
    <xf numFmtId="0" fontId="2" fillId="0" borderId="1" xfId="0" applyFont="1" applyBorder="1"/>
    <xf numFmtId="38" fontId="2" fillId="2" borderId="1" xfId="0" applyNumberFormat="1" applyFont="1" applyFill="1" applyBorder="1"/>
    <xf numFmtId="38" fontId="2" fillId="3" borderId="1" xfId="0" applyNumberFormat="1" applyFont="1" applyFill="1" applyBorder="1"/>
    <xf numFmtId="0" fontId="2" fillId="2" borderId="0" xfId="0" applyFont="1" applyFill="1" applyAlignment="1">
      <alignment horizontal="center"/>
    </xf>
    <xf numFmtId="0" fontId="4" fillId="0" borderId="2" xfId="0" applyFont="1" applyBorder="1" applyAlignment="1">
      <alignment horizontal="centerContinuous"/>
    </xf>
    <xf numFmtId="0" fontId="4" fillId="0" borderId="1" xfId="0" applyFont="1" applyBorder="1" applyAlignment="1">
      <alignment horizontal="centerContinuous"/>
    </xf>
    <xf numFmtId="0" fontId="4" fillId="0" borderId="3" xfId="0" applyFont="1" applyBorder="1" applyAlignment="1">
      <alignment horizontal="centerContinuous"/>
    </xf>
    <xf numFmtId="0" fontId="6" fillId="0" borderId="5" xfId="0" applyFont="1" applyBorder="1" applyAlignment="1">
      <alignment vertical="center"/>
    </xf>
    <xf numFmtId="3" fontId="7" fillId="0" borderId="5" xfId="0" applyNumberFormat="1" applyFont="1" applyBorder="1" applyAlignment="1">
      <alignment horizontal="center"/>
    </xf>
    <xf numFmtId="0" fontId="6" fillId="0" borderId="6" xfId="0" applyFont="1" applyBorder="1" applyAlignment="1">
      <alignment vertical="center"/>
    </xf>
    <xf numFmtId="3" fontId="7" fillId="0" borderId="6" xfId="0" applyNumberFormat="1" applyFont="1" applyBorder="1" applyAlignment="1">
      <alignment horizontal="center"/>
    </xf>
    <xf numFmtId="0" fontId="6" fillId="4" borderId="7" xfId="0" applyFont="1" applyFill="1" applyBorder="1"/>
    <xf numFmtId="3" fontId="6" fillId="4" borderId="7" xfId="0" applyNumberFormat="1" applyFont="1" applyFill="1" applyBorder="1" applyAlignment="1">
      <alignment horizontal="center"/>
    </xf>
    <xf numFmtId="0" fontId="6" fillId="2" borderId="5" xfId="0" applyFont="1" applyFill="1" applyBorder="1" applyAlignment="1">
      <alignment vertical="center"/>
    </xf>
    <xf numFmtId="165" fontId="6" fillId="2" borderId="5" xfId="0" applyNumberFormat="1" applyFont="1" applyFill="1" applyBorder="1" applyAlignment="1">
      <alignment horizontal="center" vertical="center"/>
    </xf>
    <xf numFmtId="0" fontId="6" fillId="0" borderId="8" xfId="0" applyFont="1" applyBorder="1" applyAlignment="1">
      <alignment vertical="center"/>
    </xf>
    <xf numFmtId="165" fontId="6" fillId="0" borderId="8" xfId="0" applyNumberFormat="1" applyFont="1" applyBorder="1" applyAlignment="1">
      <alignment horizontal="center" vertical="center"/>
    </xf>
    <xf numFmtId="0" fontId="6" fillId="2" borderId="9" xfId="0" applyFont="1" applyFill="1" applyBorder="1" applyAlignment="1">
      <alignment vertical="center"/>
    </xf>
    <xf numFmtId="165" fontId="6" fillId="2" borderId="9" xfId="0" applyNumberFormat="1" applyFont="1" applyFill="1" applyBorder="1" applyAlignment="1">
      <alignment horizontal="center" vertical="center"/>
    </xf>
    <xf numFmtId="0" fontId="6" fillId="5" borderId="5" xfId="0" applyFont="1" applyFill="1" applyBorder="1" applyAlignment="1">
      <alignment vertical="center"/>
    </xf>
    <xf numFmtId="165" fontId="6" fillId="5" borderId="5" xfId="0" applyNumberFormat="1" applyFont="1" applyFill="1" applyBorder="1" applyAlignment="1">
      <alignment horizontal="center" vertical="center"/>
    </xf>
    <xf numFmtId="164" fontId="6" fillId="0" borderId="8" xfId="1" applyNumberFormat="1" applyFont="1" applyBorder="1" applyAlignment="1">
      <alignment horizontal="center" vertical="center"/>
    </xf>
    <xf numFmtId="0" fontId="6" fillId="5" borderId="8" xfId="0" applyFont="1" applyFill="1" applyBorder="1" applyAlignment="1">
      <alignment vertical="center"/>
    </xf>
    <xf numFmtId="165" fontId="6" fillId="5" borderId="8" xfId="0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vertical="center"/>
    </xf>
    <xf numFmtId="164" fontId="6" fillId="0" borderId="9" xfId="1" applyNumberFormat="1" applyFont="1" applyBorder="1" applyAlignment="1">
      <alignment horizontal="center" vertical="center"/>
    </xf>
    <xf numFmtId="0" fontId="6" fillId="3" borderId="5" xfId="0" applyFont="1" applyFill="1" applyBorder="1" applyAlignment="1">
      <alignment vertical="center"/>
    </xf>
    <xf numFmtId="165" fontId="6" fillId="3" borderId="5" xfId="0" applyNumberFormat="1" applyFont="1" applyFill="1" applyBorder="1" applyAlignment="1">
      <alignment horizontal="center" vertical="center"/>
    </xf>
    <xf numFmtId="0" fontId="6" fillId="6" borderId="9" xfId="0" applyFont="1" applyFill="1" applyBorder="1" applyAlignment="1">
      <alignment vertical="center"/>
    </xf>
    <xf numFmtId="165" fontId="6" fillId="6" borderId="9" xfId="0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38" fontId="7" fillId="0" borderId="5" xfId="0" applyNumberFormat="1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38" fontId="7" fillId="0" borderId="6" xfId="0" applyNumberFormat="1" applyFont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38" fontId="6" fillId="3" borderId="7" xfId="0" applyNumberFormat="1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164" fontId="6" fillId="0" borderId="7" xfId="1" applyNumberFormat="1" applyFont="1" applyFill="1" applyBorder="1" applyAlignment="1">
      <alignment horizontal="center"/>
    </xf>
    <xf numFmtId="0" fontId="7" fillId="0" borderId="0" xfId="0" applyFont="1"/>
    <xf numFmtId="0" fontId="6" fillId="0" borderId="2" xfId="0" applyFont="1" applyBorder="1" applyAlignment="1">
      <alignment horizontal="centerContinuous" vertical="center"/>
    </xf>
    <xf numFmtId="0" fontId="6" fillId="0" borderId="1" xfId="0" applyFont="1" applyBorder="1" applyAlignment="1">
      <alignment horizontal="centerContinuous" vertical="center"/>
    </xf>
    <xf numFmtId="0" fontId="6" fillId="0" borderId="3" xfId="0" applyFont="1" applyBorder="1" applyAlignment="1">
      <alignment horizontal="centerContinuous" vertical="center"/>
    </xf>
    <xf numFmtId="0" fontId="7" fillId="7" borderId="5" xfId="0" applyFont="1" applyFill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7" borderId="8" xfId="0" applyFont="1" applyFill="1" applyBorder="1" applyAlignment="1">
      <alignment vertical="center"/>
    </xf>
    <xf numFmtId="0" fontId="7" fillId="0" borderId="9" xfId="0" applyFont="1" applyBorder="1" applyAlignment="1">
      <alignment vertical="center"/>
    </xf>
    <xf numFmtId="0" fontId="6" fillId="7" borderId="5" xfId="0" applyFont="1" applyFill="1" applyBorder="1" applyAlignment="1">
      <alignment vertical="center"/>
    </xf>
    <xf numFmtId="9" fontId="6" fillId="7" borderId="5" xfId="1" applyFont="1" applyFill="1" applyBorder="1" applyAlignment="1">
      <alignment horizontal="center" vertical="center"/>
    </xf>
    <xf numFmtId="9" fontId="6" fillId="0" borderId="8" xfId="1" applyFont="1" applyBorder="1" applyAlignment="1">
      <alignment horizontal="center" vertical="center"/>
    </xf>
    <xf numFmtId="0" fontId="6" fillId="7" borderId="8" xfId="0" applyFont="1" applyFill="1" applyBorder="1" applyAlignment="1">
      <alignment vertical="center"/>
    </xf>
    <xf numFmtId="9" fontId="6" fillId="7" borderId="8" xfId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Continuous"/>
    </xf>
    <xf numFmtId="0" fontId="0" fillId="0" borderId="1" xfId="0" applyBorder="1" applyAlignment="1">
      <alignment horizontal="centerContinuous"/>
    </xf>
    <xf numFmtId="38" fontId="0" fillId="0" borderId="1" xfId="0" applyNumberFormat="1" applyBorder="1" applyAlignment="1">
      <alignment horizontal="centerContinuous"/>
    </xf>
    <xf numFmtId="0" fontId="0" fillId="0" borderId="3" xfId="0" applyBorder="1" applyAlignment="1">
      <alignment horizontal="centerContinuous"/>
    </xf>
    <xf numFmtId="0" fontId="6" fillId="0" borderId="0" xfId="0" applyFont="1" applyAlignment="1">
      <alignment horizontal="center"/>
    </xf>
    <xf numFmtId="0" fontId="6" fillId="0" borderId="4" xfId="0" applyFont="1" applyBorder="1" applyAlignment="1">
      <alignment horizontal="center"/>
    </xf>
    <xf numFmtId="0" fontId="0" fillId="6" borderId="10" xfId="0" applyFill="1" applyBorder="1"/>
    <xf numFmtId="38" fontId="0" fillId="0" borderId="11" xfId="0" applyNumberFormat="1" applyBorder="1"/>
    <xf numFmtId="166" fontId="0" fillId="0" borderId="12" xfId="1" applyNumberFormat="1" applyFont="1" applyBorder="1" applyAlignment="1">
      <alignment horizontal="center"/>
    </xf>
    <xf numFmtId="0" fontId="0" fillId="6" borderId="13" xfId="0" applyFill="1" applyBorder="1"/>
    <xf numFmtId="38" fontId="0" fillId="0" borderId="14" xfId="0" applyNumberFormat="1" applyBorder="1"/>
    <xf numFmtId="166" fontId="0" fillId="0" borderId="15" xfId="1" applyNumberFormat="1" applyFont="1" applyBorder="1" applyAlignment="1">
      <alignment horizontal="center"/>
    </xf>
    <xf numFmtId="0" fontId="2" fillId="6" borderId="16" xfId="0" applyFont="1" applyFill="1" applyBorder="1"/>
    <xf numFmtId="38" fontId="2" fillId="0" borderId="8" xfId="0" applyNumberFormat="1" applyFont="1" applyBorder="1"/>
    <xf numFmtId="166" fontId="2" fillId="0" borderId="17" xfId="1" applyNumberFormat="1" applyFont="1" applyBorder="1" applyAlignment="1">
      <alignment horizontal="center"/>
    </xf>
    <xf numFmtId="0" fontId="0" fillId="6" borderId="18" xfId="0" applyFill="1" applyBorder="1"/>
    <xf numFmtId="164" fontId="0" fillId="0" borderId="19" xfId="1" applyNumberFormat="1" applyFont="1" applyBorder="1" applyAlignment="1">
      <alignment horizontal="center"/>
    </xf>
    <xf numFmtId="164" fontId="0" fillId="0" borderId="20" xfId="1" applyNumberFormat="1" applyFont="1" applyBorder="1" applyAlignment="1">
      <alignment horizontal="center"/>
    </xf>
    <xf numFmtId="166" fontId="0" fillId="0" borderId="11" xfId="1" applyNumberFormat="1" applyFont="1" applyBorder="1" applyAlignment="1">
      <alignment horizontal="center"/>
    </xf>
    <xf numFmtId="38" fontId="0" fillId="0" borderId="19" xfId="0" applyNumberFormat="1" applyBorder="1"/>
    <xf numFmtId="166" fontId="0" fillId="0" borderId="19" xfId="1" applyNumberFormat="1" applyFont="1" applyBorder="1" applyAlignment="1">
      <alignment horizontal="center"/>
    </xf>
    <xf numFmtId="0" fontId="2" fillId="6" borderId="2" xfId="0" applyFont="1" applyFill="1" applyBorder="1"/>
    <xf numFmtId="38" fontId="2" fillId="2" borderId="7" xfId="0" applyNumberFormat="1" applyFont="1" applyFill="1" applyBorder="1"/>
    <xf numFmtId="38" fontId="2" fillId="2" borderId="3" xfId="0" applyNumberFormat="1" applyFont="1" applyFill="1" applyBorder="1"/>
    <xf numFmtId="166" fontId="2" fillId="2" borderId="7" xfId="1" applyNumberFormat="1" applyFont="1" applyFill="1" applyBorder="1" applyAlignment="1">
      <alignment horizontal="center"/>
    </xf>
    <xf numFmtId="0" fontId="2" fillId="6" borderId="10" xfId="0" applyFont="1" applyFill="1" applyBorder="1"/>
    <xf numFmtId="38" fontId="2" fillId="0" borderId="11" xfId="0" applyNumberFormat="1" applyFont="1" applyBorder="1"/>
    <xf numFmtId="166" fontId="2" fillId="0" borderId="12" xfId="0" applyNumberFormat="1" applyFont="1" applyBorder="1" applyAlignment="1">
      <alignment horizontal="center"/>
    </xf>
    <xf numFmtId="166" fontId="0" fillId="0" borderId="15" xfId="0" applyNumberFormat="1" applyBorder="1" applyAlignment="1">
      <alignment horizontal="center"/>
    </xf>
    <xf numFmtId="166" fontId="0" fillId="0" borderId="20" xfId="0" applyNumberFormat="1" applyBorder="1" applyAlignment="1">
      <alignment horizontal="center"/>
    </xf>
    <xf numFmtId="166" fontId="0" fillId="0" borderId="12" xfId="0" applyNumberFormat="1" applyBorder="1" applyAlignment="1">
      <alignment horizontal="center"/>
    </xf>
    <xf numFmtId="0" fontId="3" fillId="6" borderId="13" xfId="0" applyFont="1" applyFill="1" applyBorder="1"/>
    <xf numFmtId="0" fontId="0" fillId="0" borderId="7" xfId="0" applyBorder="1" applyAlignment="1">
      <alignment horizontal="center"/>
    </xf>
    <xf numFmtId="164" fontId="2" fillId="0" borderId="7" xfId="1" applyNumberFormat="1" applyFont="1" applyBorder="1" applyAlignment="1">
      <alignment horizontal="center"/>
    </xf>
    <xf numFmtId="38" fontId="0" fillId="0" borderId="11" xfId="0" applyNumberFormat="1" applyFill="1" applyBorder="1"/>
    <xf numFmtId="166" fontId="0" fillId="0" borderId="12" xfId="1" applyNumberFormat="1" applyFont="1" applyFill="1" applyBorder="1" applyAlignment="1">
      <alignment horizontal="center"/>
    </xf>
    <xf numFmtId="38" fontId="0" fillId="0" borderId="14" xfId="0" applyNumberFormat="1" applyFill="1" applyBorder="1"/>
    <xf numFmtId="166" fontId="0" fillId="0" borderId="15" xfId="1" applyNumberFormat="1" applyFont="1" applyFill="1" applyBorder="1" applyAlignment="1">
      <alignment horizontal="center"/>
    </xf>
    <xf numFmtId="38" fontId="2" fillId="0" borderId="8" xfId="0" applyNumberFormat="1" applyFont="1" applyFill="1" applyBorder="1"/>
    <xf numFmtId="166" fontId="2" fillId="0" borderId="17" xfId="1" applyNumberFormat="1" applyFont="1" applyFill="1" applyBorder="1" applyAlignment="1">
      <alignment horizontal="center"/>
    </xf>
    <xf numFmtId="164" fontId="0" fillId="0" borderId="19" xfId="1" applyNumberFormat="1" applyFont="1" applyFill="1" applyBorder="1" applyAlignment="1">
      <alignment horizontal="center"/>
    </xf>
    <xf numFmtId="164" fontId="0" fillId="0" borderId="20" xfId="1" applyNumberFormat="1" applyFont="1" applyFill="1" applyBorder="1" applyAlignment="1">
      <alignment horizontal="center"/>
    </xf>
    <xf numFmtId="0" fontId="6" fillId="8" borderId="4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4" fillId="0" borderId="0" xfId="0" applyFont="1" applyFill="1" applyAlignment="1">
      <alignment horizontal="center" vertical="center" wrapText="1"/>
    </xf>
    <xf numFmtId="38" fontId="0" fillId="0" borderId="0" xfId="0" applyNumberFormat="1" applyFont="1" applyFill="1"/>
    <xf numFmtId="38" fontId="2" fillId="0" borderId="1" xfId="0" applyNumberFormat="1" applyFont="1" applyFill="1" applyBorder="1"/>
    <xf numFmtId="164" fontId="2" fillId="0" borderId="0" xfId="1" applyNumberFormat="1" applyFont="1" applyFill="1" applyAlignment="1">
      <alignment horizontal="center"/>
    </xf>
    <xf numFmtId="0" fontId="0" fillId="0" borderId="0" xfId="0" applyFill="1"/>
    <xf numFmtId="0" fontId="4" fillId="2" borderId="0" xfId="0" applyFont="1" applyFill="1" applyAlignment="1">
      <alignment horizontal="center"/>
    </xf>
    <xf numFmtId="9" fontId="0" fillId="0" borderId="0" xfId="1" applyFont="1" applyFill="1" applyAlignment="1">
      <alignment horizontal="center"/>
    </xf>
    <xf numFmtId="9" fontId="2" fillId="2" borderId="1" xfId="1" applyFont="1" applyFill="1" applyBorder="1" applyAlignment="1">
      <alignment horizontal="center"/>
    </xf>
    <xf numFmtId="0" fontId="2" fillId="0" borderId="0" xfId="0" applyFont="1" applyAlignment="1">
      <alignment horizontal="left" vertical="center"/>
    </xf>
    <xf numFmtId="38" fontId="0" fillId="5" borderId="0" xfId="0" applyNumberFormat="1" applyFill="1"/>
    <xf numFmtId="38" fontId="0" fillId="5" borderId="0" xfId="0" applyNumberFormat="1" applyFont="1" applyFill="1"/>
    <xf numFmtId="38" fontId="2" fillId="5" borderId="1" xfId="0" applyNumberFormat="1" applyFont="1" applyFill="1" applyBorder="1"/>
    <xf numFmtId="9" fontId="0" fillId="0" borderId="0" xfId="0" applyNumberFormat="1" applyAlignment="1">
      <alignment horizontal="center"/>
    </xf>
    <xf numFmtId="38" fontId="0" fillId="9" borderId="0" xfId="0" applyNumberFormat="1" applyFill="1"/>
    <xf numFmtId="38" fontId="0" fillId="10" borderId="0" xfId="0" applyNumberFormat="1" applyFill="1"/>
    <xf numFmtId="0" fontId="6" fillId="0" borderId="0" xfId="0" applyFont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0" fontId="0" fillId="0" borderId="0" xfId="1" applyNumberFormat="1" applyFont="1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2" fillId="0" borderId="1" xfId="0" applyFont="1" applyBorder="1" applyAlignment="1">
      <alignment horizontal="centerContinuous"/>
    </xf>
    <xf numFmtId="0" fontId="2" fillId="0" borderId="3" xfId="0" applyFont="1" applyBorder="1" applyAlignment="1">
      <alignment horizontal="centerContinuous"/>
    </xf>
    <xf numFmtId="0" fontId="2" fillId="0" borderId="0" xfId="0" pivotButton="1" applyFont="1"/>
    <xf numFmtId="0" fontId="11" fillId="0" borderId="0" xfId="0" applyFont="1" applyAlignment="1">
      <alignment horizontal="center"/>
    </xf>
    <xf numFmtId="166" fontId="0" fillId="0" borderId="0" xfId="1" applyNumberFormat="1" applyFont="1" applyAlignment="1">
      <alignment horizontal="center"/>
    </xf>
    <xf numFmtId="0" fontId="0" fillId="11" borderId="0" xfId="0" applyFill="1"/>
    <xf numFmtId="0" fontId="2" fillId="11" borderId="0" xfId="0" applyFont="1" applyFill="1"/>
    <xf numFmtId="0" fontId="2" fillId="12" borderId="0" xfId="0" applyFont="1" applyFill="1" applyAlignment="1">
      <alignment horizontal="centerContinuous"/>
    </xf>
    <xf numFmtId="0" fontId="0" fillId="12" borderId="0" xfId="0" applyFill="1" applyAlignment="1">
      <alignment horizontal="centerContinuous"/>
    </xf>
    <xf numFmtId="0" fontId="12" fillId="0" borderId="0" xfId="0" applyFont="1"/>
    <xf numFmtId="0" fontId="8" fillId="0" borderId="7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164" fontId="6" fillId="0" borderId="5" xfId="1" applyNumberFormat="1" applyFont="1" applyFill="1" applyBorder="1" applyAlignment="1">
      <alignment horizontal="center"/>
    </xf>
    <xf numFmtId="164" fontId="7" fillId="0" borderId="5" xfId="1" applyNumberFormat="1" applyFont="1" applyFill="1" applyBorder="1" applyAlignment="1">
      <alignment horizontal="center"/>
    </xf>
    <xf numFmtId="0" fontId="8" fillId="0" borderId="8" xfId="0" applyFont="1" applyBorder="1" applyAlignment="1">
      <alignment horizontal="center"/>
    </xf>
    <xf numFmtId="164" fontId="6" fillId="0" borderId="8" xfId="1" applyNumberFormat="1" applyFont="1" applyFill="1" applyBorder="1" applyAlignment="1">
      <alignment horizontal="center"/>
    </xf>
    <xf numFmtId="164" fontId="7" fillId="0" borderId="8" xfId="1" applyNumberFormat="1" applyFont="1" applyFill="1" applyBorder="1" applyAlignment="1">
      <alignment horizontal="center"/>
    </xf>
    <xf numFmtId="0" fontId="13" fillId="13" borderId="9" xfId="0" applyFont="1" applyFill="1" applyBorder="1" applyAlignment="1">
      <alignment horizontal="center"/>
    </xf>
    <xf numFmtId="164" fontId="6" fillId="13" borderId="9" xfId="1" applyNumberFormat="1" applyFont="1" applyFill="1" applyBorder="1" applyAlignment="1">
      <alignment horizontal="center"/>
    </xf>
    <xf numFmtId="166" fontId="6" fillId="13" borderId="9" xfId="1" applyNumberFormat="1" applyFont="1" applyFill="1" applyBorder="1" applyAlignment="1">
      <alignment horizontal="center"/>
    </xf>
    <xf numFmtId="166" fontId="0" fillId="0" borderId="0" xfId="0" applyNumberFormat="1" applyAlignment="1">
      <alignment horizontal="center"/>
    </xf>
    <xf numFmtId="38" fontId="0" fillId="0" borderId="0" xfId="0" applyNumberFormat="1" applyFont="1"/>
    <xf numFmtId="166" fontId="7" fillId="0" borderId="7" xfId="1" applyNumberFormat="1" applyFont="1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166" fontId="7" fillId="0" borderId="5" xfId="1" applyNumberFormat="1" applyFont="1" applyBorder="1" applyAlignment="1">
      <alignment horizontal="center"/>
    </xf>
    <xf numFmtId="166" fontId="7" fillId="0" borderId="6" xfId="1" applyNumberFormat="1" applyFont="1" applyBorder="1" applyAlignment="1">
      <alignment horizontal="center"/>
    </xf>
    <xf numFmtId="0" fontId="6" fillId="4" borderId="7" xfId="0" applyFont="1" applyFill="1" applyBorder="1" applyAlignment="1">
      <alignment vertical="center"/>
    </xf>
    <xf numFmtId="166" fontId="6" fillId="4" borderId="7" xfId="1" applyNumberFormat="1" applyFont="1" applyFill="1" applyBorder="1" applyAlignment="1">
      <alignment horizontal="center"/>
    </xf>
    <xf numFmtId="0" fontId="6" fillId="2" borderId="7" xfId="0" applyFont="1" applyFill="1" applyBorder="1" applyAlignment="1">
      <alignment vertical="center"/>
    </xf>
    <xf numFmtId="166" fontId="6" fillId="2" borderId="7" xfId="1" applyNumberFormat="1" applyFont="1" applyFill="1" applyBorder="1" applyAlignment="1">
      <alignment horizontal="center" vertical="center"/>
    </xf>
    <xf numFmtId="166" fontId="7" fillId="0" borderId="5" xfId="1" applyNumberFormat="1" applyFont="1" applyBorder="1" applyAlignment="1">
      <alignment horizontal="center" vertical="center"/>
    </xf>
    <xf numFmtId="166" fontId="7" fillId="0" borderId="9" xfId="1" applyNumberFormat="1" applyFont="1" applyBorder="1" applyAlignment="1">
      <alignment horizontal="center" vertical="center"/>
    </xf>
    <xf numFmtId="0" fontId="6" fillId="5" borderId="7" xfId="0" applyFont="1" applyFill="1" applyBorder="1" applyAlignment="1">
      <alignment vertical="center"/>
    </xf>
    <xf numFmtId="166" fontId="6" fillId="5" borderId="7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Continuous"/>
    </xf>
    <xf numFmtId="166" fontId="7" fillId="0" borderId="6" xfId="1" applyNumberFormat="1" applyFont="1" applyBorder="1" applyAlignment="1">
      <alignment horizontal="center" vertical="center"/>
    </xf>
    <xf numFmtId="0" fontId="6" fillId="3" borderId="7" xfId="0" applyFont="1" applyFill="1" applyBorder="1" applyAlignment="1">
      <alignment vertical="center"/>
    </xf>
    <xf numFmtId="166" fontId="7" fillId="3" borderId="7" xfId="1" applyNumberFormat="1" applyFont="1" applyFill="1" applyBorder="1" applyAlignment="1">
      <alignment horizontal="center" vertical="center"/>
    </xf>
    <xf numFmtId="0" fontId="6" fillId="0" borderId="7" xfId="0" applyFont="1" applyBorder="1" applyAlignment="1">
      <alignment vertical="center"/>
    </xf>
    <xf numFmtId="166" fontId="7" fillId="0" borderId="7" xfId="1" applyNumberFormat="1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166" fontId="7" fillId="0" borderId="0" xfId="1" applyNumberFormat="1" applyFont="1" applyBorder="1" applyAlignment="1">
      <alignment horizontal="center" vertical="center"/>
    </xf>
    <xf numFmtId="0" fontId="3" fillId="0" borderId="0" xfId="0" applyFont="1" applyFill="1"/>
    <xf numFmtId="0" fontId="16" fillId="0" borderId="21" xfId="0" applyFont="1" applyFill="1" applyBorder="1"/>
    <xf numFmtId="0" fontId="16" fillId="0" borderId="0" xfId="0" applyFont="1" applyFill="1"/>
    <xf numFmtId="3" fontId="16" fillId="0" borderId="22" xfId="0" applyNumberFormat="1" applyFont="1" applyFill="1" applyBorder="1" applyAlignment="1">
      <alignment horizontal="center"/>
    </xf>
    <xf numFmtId="3" fontId="16" fillId="0" borderId="0" xfId="0" applyNumberFormat="1" applyFont="1" applyFill="1" applyAlignment="1">
      <alignment horizontal="center"/>
    </xf>
    <xf numFmtId="3" fontId="16" fillId="0" borderId="23" xfId="0" applyNumberFormat="1" applyFont="1" applyFill="1" applyBorder="1" applyAlignment="1">
      <alignment horizontal="center"/>
    </xf>
    <xf numFmtId="3" fontId="16" fillId="0" borderId="21" xfId="0" applyNumberFormat="1" applyFont="1" applyFill="1" applyBorder="1" applyAlignment="1">
      <alignment horizontal="center"/>
    </xf>
    <xf numFmtId="0" fontId="16" fillId="11" borderId="0" xfId="0" applyFont="1" applyFill="1"/>
    <xf numFmtId="0" fontId="16" fillId="0" borderId="0" xfId="0" applyFont="1"/>
    <xf numFmtId="0" fontId="17" fillId="0" borderId="21" xfId="0" applyFont="1" applyFill="1" applyBorder="1"/>
    <xf numFmtId="0" fontId="17" fillId="0" borderId="23" xfId="0" applyFont="1" applyFill="1" applyBorder="1" applyAlignment="1">
      <alignment horizontal="center"/>
    </xf>
    <xf numFmtId="0" fontId="17" fillId="0" borderId="21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7" fillId="11" borderId="0" xfId="0" applyFont="1" applyFill="1"/>
    <xf numFmtId="0" fontId="17" fillId="2" borderId="0" xfId="0" applyFont="1" applyFill="1"/>
    <xf numFmtId="3" fontId="17" fillId="2" borderId="22" xfId="0" applyNumberFormat="1" applyFont="1" applyFill="1" applyBorder="1" applyAlignment="1">
      <alignment horizontal="center"/>
    </xf>
    <xf numFmtId="3" fontId="17" fillId="2" borderId="0" xfId="0" applyNumberFormat="1" applyFont="1" applyFill="1" applyAlignment="1">
      <alignment horizontal="center"/>
    </xf>
    <xf numFmtId="0" fontId="17" fillId="5" borderId="0" xfId="0" applyFont="1" applyFill="1"/>
    <xf numFmtId="3" fontId="17" fillId="5" borderId="22" xfId="0" applyNumberFormat="1" applyFont="1" applyFill="1" applyBorder="1" applyAlignment="1">
      <alignment horizontal="center"/>
    </xf>
    <xf numFmtId="3" fontId="17" fillId="5" borderId="0" xfId="0" applyNumberFormat="1" applyFont="1" applyFill="1" applyAlignment="1">
      <alignment horizontal="center"/>
    </xf>
    <xf numFmtId="164" fontId="7" fillId="0" borderId="8" xfId="1" applyNumberFormat="1" applyFont="1" applyBorder="1" applyAlignment="1">
      <alignment horizontal="center" vertical="center"/>
    </xf>
    <xf numFmtId="164" fontId="7" fillId="7" borderId="5" xfId="1" applyNumberFormat="1" applyFont="1" applyFill="1" applyBorder="1" applyAlignment="1">
      <alignment horizontal="center" vertical="center"/>
    </xf>
    <xf numFmtId="164" fontId="7" fillId="7" borderId="8" xfId="1" applyNumberFormat="1" applyFont="1" applyFill="1" applyBorder="1" applyAlignment="1">
      <alignment horizontal="center" vertical="center"/>
    </xf>
    <xf numFmtId="164" fontId="7" fillId="0" borderId="9" xfId="1" applyNumberFormat="1" applyFont="1" applyBorder="1" applyAlignment="1">
      <alignment horizontal="center" vertical="center"/>
    </xf>
    <xf numFmtId="0" fontId="6" fillId="7" borderId="9" xfId="0" applyFont="1" applyFill="1" applyBorder="1" applyAlignment="1">
      <alignment vertical="center"/>
    </xf>
    <xf numFmtId="9" fontId="6" fillId="7" borderId="9" xfId="1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Continuous"/>
    </xf>
    <xf numFmtId="0" fontId="19" fillId="0" borderId="0" xfId="0" applyFont="1" applyFill="1" applyAlignment="1">
      <alignment horizontal="centerContinuous"/>
    </xf>
    <xf numFmtId="0" fontId="20" fillId="0" borderId="0" xfId="0" applyFont="1" applyAlignment="1">
      <alignment horizontal="center"/>
    </xf>
    <xf numFmtId="164" fontId="3" fillId="0" borderId="0" xfId="1" applyNumberFormat="1" applyFont="1" applyFill="1" applyAlignment="1">
      <alignment horizontal="center"/>
    </xf>
    <xf numFmtId="0" fontId="3" fillId="0" borderId="24" xfId="0" applyFont="1" applyFill="1" applyBorder="1"/>
    <xf numFmtId="0" fontId="3" fillId="0" borderId="25" xfId="0" applyFont="1" applyFill="1" applyBorder="1"/>
    <xf numFmtId="164" fontId="3" fillId="0" borderId="25" xfId="1" applyNumberFormat="1" applyFont="1" applyFill="1" applyBorder="1" applyAlignment="1">
      <alignment horizontal="center"/>
    </xf>
    <xf numFmtId="164" fontId="3" fillId="0" borderId="24" xfId="1" applyNumberFormat="1" applyFont="1" applyFill="1" applyBorder="1" applyAlignment="1">
      <alignment horizontal="center"/>
    </xf>
    <xf numFmtId="165" fontId="3" fillId="0" borderId="24" xfId="0" applyNumberFormat="1" applyFont="1" applyFill="1" applyBorder="1" applyAlignment="1">
      <alignment horizontal="center"/>
    </xf>
    <xf numFmtId="0" fontId="3" fillId="0" borderId="26" xfId="0" applyFont="1" applyFill="1" applyBorder="1"/>
    <xf numFmtId="165" fontId="3" fillId="0" borderId="26" xfId="0" applyNumberFormat="1" applyFont="1" applyFill="1" applyBorder="1" applyAlignment="1">
      <alignment horizontal="center"/>
    </xf>
    <xf numFmtId="9" fontId="3" fillId="0" borderId="26" xfId="1" applyFont="1" applyFill="1" applyBorder="1" applyAlignment="1">
      <alignment horizontal="center"/>
    </xf>
    <xf numFmtId="9" fontId="3" fillId="0" borderId="25" xfId="1" applyFont="1" applyFill="1" applyBorder="1" applyAlignment="1">
      <alignment horizontal="center"/>
    </xf>
    <xf numFmtId="0" fontId="21" fillId="0" borderId="24" xfId="0" applyFont="1" applyFill="1" applyBorder="1"/>
    <xf numFmtId="164" fontId="21" fillId="0" borderId="24" xfId="1" applyNumberFormat="1" applyFont="1" applyFill="1" applyBorder="1" applyAlignment="1">
      <alignment horizontal="center"/>
    </xf>
    <xf numFmtId="38" fontId="17" fillId="2" borderId="27" xfId="0" applyNumberFormat="1" applyFont="1" applyFill="1" applyBorder="1" applyAlignment="1">
      <alignment horizontal="center"/>
    </xf>
    <xf numFmtId="38" fontId="17" fillId="5" borderId="27" xfId="0" applyNumberFormat="1" applyFont="1" applyFill="1" applyBorder="1" applyAlignment="1">
      <alignment horizontal="center"/>
    </xf>
    <xf numFmtId="166" fontId="17" fillId="2" borderId="28" xfId="1" applyNumberFormat="1" applyFont="1" applyFill="1" applyBorder="1" applyAlignment="1">
      <alignment horizontal="center"/>
    </xf>
    <xf numFmtId="166" fontId="17" fillId="5" borderId="28" xfId="1" applyNumberFormat="1" applyFont="1" applyFill="1" applyBorder="1" applyAlignment="1">
      <alignment horizontal="center"/>
    </xf>
    <xf numFmtId="0" fontId="3" fillId="2" borderId="25" xfId="0" applyFont="1" applyFill="1" applyBorder="1"/>
    <xf numFmtId="165" fontId="4" fillId="2" borderId="25" xfId="0" applyNumberFormat="1" applyFont="1" applyFill="1" applyBorder="1" applyAlignment="1">
      <alignment horizontal="center"/>
    </xf>
    <xf numFmtId="0" fontId="3" fillId="5" borderId="26" xfId="0" applyFont="1" applyFill="1" applyBorder="1"/>
    <xf numFmtId="165" fontId="3" fillId="5" borderId="26" xfId="0" applyNumberFormat="1" applyFont="1" applyFill="1" applyBorder="1" applyAlignment="1">
      <alignment horizontal="center"/>
    </xf>
    <xf numFmtId="0" fontId="3" fillId="5" borderId="24" xfId="0" applyFont="1" applyFill="1" applyBorder="1"/>
    <xf numFmtId="165" fontId="3" fillId="5" borderId="24" xfId="0" applyNumberFormat="1" applyFont="1" applyFill="1" applyBorder="1" applyAlignment="1">
      <alignment horizontal="center"/>
    </xf>
    <xf numFmtId="0" fontId="0" fillId="0" borderId="11" xfId="0" applyBorder="1"/>
    <xf numFmtId="0" fontId="0" fillId="0" borderId="14" xfId="0" applyBorder="1"/>
    <xf numFmtId="0" fontId="0" fillId="0" borderId="38" xfId="0" applyBorder="1"/>
    <xf numFmtId="0" fontId="0" fillId="0" borderId="18" xfId="0" applyBorder="1"/>
    <xf numFmtId="0" fontId="0" fillId="0" borderId="10" xfId="0" applyBorder="1"/>
    <xf numFmtId="0" fontId="0" fillId="0" borderId="39" xfId="0" applyBorder="1"/>
    <xf numFmtId="0" fontId="0" fillId="0" borderId="40" xfId="0" applyBorder="1"/>
    <xf numFmtId="0" fontId="0" fillId="0" borderId="20" xfId="0" applyBorder="1"/>
    <xf numFmtId="0" fontId="0" fillId="0" borderId="12" xfId="0" applyBorder="1"/>
    <xf numFmtId="0" fontId="0" fillId="0" borderId="41" xfId="0" applyBorder="1"/>
    <xf numFmtId="0" fontId="2" fillId="0" borderId="11" xfId="0" applyFont="1" applyBorder="1" applyAlignment="1">
      <alignment horizontal="centerContinuous"/>
    </xf>
    <xf numFmtId="0" fontId="0" fillId="0" borderId="11" xfId="0" applyBorder="1" applyAlignment="1">
      <alignment horizontal="centerContinuous"/>
    </xf>
    <xf numFmtId="0" fontId="2" fillId="0" borderId="7" xfId="0" applyFont="1" applyBorder="1" applyAlignment="1">
      <alignment horizontal="center"/>
    </xf>
    <xf numFmtId="38" fontId="0" fillId="0" borderId="46" xfId="0" applyNumberFormat="1" applyBorder="1" applyAlignment="1">
      <alignment horizontal="center"/>
    </xf>
    <xf numFmtId="38" fontId="0" fillId="0" borderId="6" xfId="0" applyNumberFormat="1" applyBorder="1" applyAlignment="1">
      <alignment horizontal="center"/>
    </xf>
    <xf numFmtId="0" fontId="2" fillId="2" borderId="7" xfId="0" applyFont="1" applyFill="1" applyBorder="1"/>
    <xf numFmtId="38" fontId="2" fillId="2" borderId="7" xfId="0" applyNumberFormat="1" applyFont="1" applyFill="1" applyBorder="1" applyAlignment="1">
      <alignment horizontal="center"/>
    </xf>
    <xf numFmtId="38" fontId="2" fillId="2" borderId="46" xfId="0" applyNumberFormat="1" applyFont="1" applyFill="1" applyBorder="1" applyAlignment="1">
      <alignment horizontal="center"/>
    </xf>
    <xf numFmtId="38" fontId="2" fillId="2" borderId="6" xfId="0" applyNumberFormat="1" applyFont="1" applyFill="1" applyBorder="1" applyAlignment="1">
      <alignment horizontal="center"/>
    </xf>
    <xf numFmtId="38" fontId="2" fillId="5" borderId="46" xfId="0" applyNumberFormat="1" applyFont="1" applyFill="1" applyBorder="1" applyAlignment="1">
      <alignment horizontal="center"/>
    </xf>
    <xf numFmtId="38" fontId="2" fillId="5" borderId="6" xfId="0" applyNumberFormat="1" applyFont="1" applyFill="1" applyBorder="1" applyAlignment="1">
      <alignment horizontal="center"/>
    </xf>
    <xf numFmtId="38" fontId="2" fillId="5" borderId="7" xfId="0" applyNumberFormat="1" applyFont="1" applyFill="1" applyBorder="1" applyAlignment="1">
      <alignment horizontal="center"/>
    </xf>
    <xf numFmtId="0" fontId="2" fillId="5" borderId="7" xfId="0" applyFont="1" applyFill="1" applyBorder="1"/>
    <xf numFmtId="0" fontId="22" fillId="0" borderId="2" xfId="0" applyFont="1" applyBorder="1" applyAlignment="1">
      <alignment horizontal="centerContinuous"/>
    </xf>
    <xf numFmtId="0" fontId="22" fillId="0" borderId="1" xfId="0" applyFont="1" applyBorder="1" applyAlignment="1">
      <alignment horizontal="centerContinuous"/>
    </xf>
    <xf numFmtId="0" fontId="22" fillId="0" borderId="3" xfId="0" applyFont="1" applyBorder="1" applyAlignment="1">
      <alignment horizontal="centerContinuous"/>
    </xf>
    <xf numFmtId="164" fontId="2" fillId="2" borderId="7" xfId="1" applyNumberFormat="1" applyFont="1" applyFill="1" applyBorder="1" applyAlignment="1">
      <alignment horizontal="center"/>
    </xf>
    <xf numFmtId="164" fontId="2" fillId="5" borderId="7" xfId="1" applyNumberFormat="1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0" fillId="0" borderId="2" xfId="0" applyBorder="1" applyAlignment="1">
      <alignment horizontal="centerContinuous"/>
    </xf>
    <xf numFmtId="0" fontId="22" fillId="2" borderId="2" xfId="0" applyFont="1" applyFill="1" applyBorder="1" applyAlignment="1">
      <alignment horizontal="centerContinuous"/>
    </xf>
    <xf numFmtId="0" fontId="22" fillId="2" borderId="1" xfId="0" applyFont="1" applyFill="1" applyBorder="1" applyAlignment="1">
      <alignment horizontal="centerContinuous"/>
    </xf>
    <xf numFmtId="0" fontId="22" fillId="2" borderId="3" xfId="0" applyFont="1" applyFill="1" applyBorder="1" applyAlignment="1">
      <alignment horizontal="centerContinuous"/>
    </xf>
    <xf numFmtId="0" fontId="22" fillId="5" borderId="2" xfId="0" applyFont="1" applyFill="1" applyBorder="1" applyAlignment="1">
      <alignment horizontal="centerContinuous"/>
    </xf>
    <xf numFmtId="0" fontId="22" fillId="5" borderId="1" xfId="0" applyFont="1" applyFill="1" applyBorder="1" applyAlignment="1">
      <alignment horizontal="centerContinuous"/>
    </xf>
    <xf numFmtId="0" fontId="22" fillId="5" borderId="3" xfId="0" applyFont="1" applyFill="1" applyBorder="1" applyAlignment="1">
      <alignment horizontal="centerContinuous"/>
    </xf>
    <xf numFmtId="166" fontId="0" fillId="0" borderId="47" xfId="1" applyNumberFormat="1" applyFont="1" applyBorder="1" applyAlignment="1">
      <alignment horizontal="center"/>
    </xf>
    <xf numFmtId="0" fontId="0" fillId="0" borderId="47" xfId="0" applyBorder="1"/>
    <xf numFmtId="0" fontId="2" fillId="0" borderId="48" xfId="0" applyFont="1" applyBorder="1" applyAlignment="1">
      <alignment horizontal="center" wrapText="1"/>
    </xf>
    <xf numFmtId="166" fontId="0" fillId="0" borderId="49" xfId="1" applyNumberFormat="1" applyFont="1" applyBorder="1" applyAlignment="1">
      <alignment horizontal="center"/>
    </xf>
    <xf numFmtId="0" fontId="0" fillId="0" borderId="50" xfId="0" applyBorder="1"/>
    <xf numFmtId="38" fontId="0" fillId="0" borderId="51" xfId="0" applyNumberFormat="1" applyBorder="1"/>
    <xf numFmtId="0" fontId="0" fillId="0" borderId="56" xfId="0" applyBorder="1"/>
    <xf numFmtId="0" fontId="2" fillId="0" borderId="0" xfId="0" applyFont="1" applyBorder="1" applyAlignment="1">
      <alignment horizontal="center" wrapText="1"/>
    </xf>
    <xf numFmtId="166" fontId="0" fillId="0" borderId="0" xfId="1" applyNumberFormat="1" applyFont="1" applyBorder="1" applyAlignment="1">
      <alignment horizontal="center"/>
    </xf>
    <xf numFmtId="0" fontId="0" fillId="0" borderId="0" xfId="0" applyBorder="1"/>
    <xf numFmtId="38" fontId="0" fillId="0" borderId="0" xfId="0" applyNumberFormat="1" applyBorder="1"/>
    <xf numFmtId="0" fontId="0" fillId="0" borderId="2" xfId="0" applyBorder="1"/>
    <xf numFmtId="0" fontId="0" fillId="0" borderId="3" xfId="0" applyBorder="1"/>
    <xf numFmtId="166" fontId="0" fillId="0" borderId="60" xfId="1" applyNumberFormat="1" applyFont="1" applyBorder="1" applyAlignment="1">
      <alignment horizontal="center"/>
    </xf>
    <xf numFmtId="0" fontId="23" fillId="11" borderId="0" xfId="0" applyFont="1" applyFill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1" applyNumberFormat="1" applyFont="1"/>
    <xf numFmtId="0" fontId="2" fillId="0" borderId="7" xfId="0" applyFont="1" applyBorder="1"/>
    <xf numFmtId="0" fontId="0" fillId="0" borderId="7" xfId="0" applyBorder="1"/>
    <xf numFmtId="0" fontId="25" fillId="0" borderId="0" xfId="0" applyFont="1" applyAlignment="1">
      <alignment horizontal="left" vertical="center" wrapText="1" indent="5"/>
    </xf>
    <xf numFmtId="0" fontId="26" fillId="0" borderId="62" xfId="0" applyFont="1" applyBorder="1" applyAlignment="1">
      <alignment vertical="center" wrapText="1"/>
    </xf>
    <xf numFmtId="0" fontId="27" fillId="18" borderId="63" xfId="0" applyFont="1" applyFill="1" applyBorder="1" applyAlignment="1">
      <alignment vertical="center" wrapText="1"/>
    </xf>
    <xf numFmtId="0" fontId="26" fillId="0" borderId="35" xfId="0" applyFont="1" applyBorder="1" applyAlignment="1">
      <alignment vertical="center" wrapText="1"/>
    </xf>
    <xf numFmtId="0" fontId="26" fillId="0" borderId="64" xfId="0" applyFont="1" applyBorder="1" applyAlignment="1">
      <alignment vertical="center" wrapText="1"/>
    </xf>
    <xf numFmtId="0" fontId="27" fillId="18" borderId="64" xfId="0" applyFont="1" applyFill="1" applyBorder="1" applyAlignment="1">
      <alignment vertical="center" wrapText="1"/>
    </xf>
    <xf numFmtId="0" fontId="25" fillId="0" borderId="0" xfId="0" applyFont="1" applyAlignment="1">
      <alignment vertical="center" wrapText="1"/>
    </xf>
    <xf numFmtId="0" fontId="28" fillId="0" borderId="0" xfId="0" applyFont="1" applyAlignment="1">
      <alignment horizontal="left" vertical="center" wrapText="1" indent="1"/>
    </xf>
    <xf numFmtId="0" fontId="2" fillId="0" borderId="0" xfId="0" applyFont="1" applyAlignment="1">
      <alignment vertical="center"/>
    </xf>
    <xf numFmtId="1" fontId="2" fillId="0" borderId="7" xfId="0" applyNumberFormat="1" applyFont="1" applyBorder="1" applyAlignment="1">
      <alignment horizontal="center"/>
    </xf>
    <xf numFmtId="0" fontId="0" fillId="12" borderId="7" xfId="0" applyFill="1" applyBorder="1" applyAlignment="1">
      <alignment horizontal="center"/>
    </xf>
    <xf numFmtId="1" fontId="0" fillId="12" borderId="7" xfId="0" applyNumberFormat="1" applyFill="1" applyBorder="1" applyAlignment="1">
      <alignment horizontal="center"/>
    </xf>
    <xf numFmtId="38" fontId="0" fillId="12" borderId="6" xfId="0" applyNumberForma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4" fillId="19" borderId="7" xfId="0" applyFont="1" applyFill="1" applyBorder="1" applyAlignment="1">
      <alignment vertical="center"/>
    </xf>
    <xf numFmtId="0" fontId="24" fillId="19" borderId="7" xfId="0" applyFont="1" applyFill="1" applyBorder="1" applyAlignment="1">
      <alignment horizontal="center" vertical="center"/>
    </xf>
    <xf numFmtId="0" fontId="24" fillId="19" borderId="7" xfId="0" applyFont="1" applyFill="1" applyBorder="1" applyAlignment="1">
      <alignment horizontal="center" vertical="center" wrapText="1"/>
    </xf>
    <xf numFmtId="0" fontId="24" fillId="20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167" fontId="0" fillId="0" borderId="7" xfId="3" applyFont="1" applyBorder="1" applyAlignment="1">
      <alignment horizontal="center" vertical="center"/>
    </xf>
    <xf numFmtId="9" fontId="0" fillId="0" borderId="7" xfId="3" applyNumberFormat="1" applyFont="1" applyBorder="1" applyAlignment="1">
      <alignment horizontal="center" vertical="center"/>
    </xf>
    <xf numFmtId="9" fontId="0" fillId="0" borderId="7" xfId="1" applyFont="1" applyBorder="1" applyAlignment="1">
      <alignment horizontal="center" vertical="center"/>
    </xf>
    <xf numFmtId="167" fontId="0" fillId="0" borderId="7" xfId="3" applyFont="1" applyBorder="1" applyAlignment="1">
      <alignment vertical="center"/>
    </xf>
    <xf numFmtId="38" fontId="0" fillId="12" borderId="14" xfId="0" applyNumberFormat="1" applyFill="1" applyBorder="1"/>
    <xf numFmtId="166" fontId="0" fillId="12" borderId="14" xfId="1" applyNumberFormat="1" applyFont="1" applyFill="1" applyBorder="1" applyAlignment="1">
      <alignment horizontal="center"/>
    </xf>
    <xf numFmtId="0" fontId="0" fillId="0" borderId="0" xfId="0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0" fontId="2" fillId="0" borderId="7" xfId="0" applyFont="1" applyBorder="1" applyAlignment="1">
      <alignment vertical="center"/>
    </xf>
    <xf numFmtId="1" fontId="0" fillId="0" borderId="7" xfId="0" applyNumberFormat="1" applyBorder="1" applyAlignment="1">
      <alignment horizontal="center" vertical="center"/>
    </xf>
    <xf numFmtId="1" fontId="0" fillId="0" borderId="7" xfId="0" applyNumberForma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44" fontId="2" fillId="0" borderId="7" xfId="0" applyNumberFormat="1" applyFont="1" applyBorder="1"/>
    <xf numFmtId="44" fontId="0" fillId="0" borderId="7" xfId="4" applyFont="1" applyBorder="1" applyAlignment="1">
      <alignment vertical="center"/>
    </xf>
    <xf numFmtId="44" fontId="0" fillId="0" borderId="7" xfId="0" applyNumberFormat="1" applyBorder="1" applyAlignment="1">
      <alignment vertical="center"/>
    </xf>
    <xf numFmtId="0" fontId="0" fillId="0" borderId="7" xfId="0" applyBorder="1" applyAlignment="1">
      <alignment wrapText="1"/>
    </xf>
    <xf numFmtId="0" fontId="0" fillId="0" borderId="2" xfId="0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2" xfId="0" applyFont="1" applyBorder="1"/>
    <xf numFmtId="44" fontId="0" fillId="0" borderId="7" xfId="4" applyFont="1" applyBorder="1" applyAlignment="1">
      <alignment horizontal="center"/>
    </xf>
    <xf numFmtId="9" fontId="0" fillId="0" borderId="7" xfId="0" applyNumberFormat="1" applyBorder="1" applyAlignment="1">
      <alignment horizontal="center"/>
    </xf>
    <xf numFmtId="44" fontId="2" fillId="0" borderId="7" xfId="4" applyFont="1" applyBorder="1" applyAlignment="1">
      <alignment horizontal="center"/>
    </xf>
    <xf numFmtId="9" fontId="0" fillId="0" borderId="7" xfId="1" applyFont="1" applyBorder="1" applyAlignment="1">
      <alignment horizontal="center"/>
    </xf>
    <xf numFmtId="0" fontId="2" fillId="21" borderId="0" xfId="0" applyFont="1" applyFill="1"/>
    <xf numFmtId="0" fontId="0" fillId="21" borderId="0" xfId="0" applyFill="1"/>
    <xf numFmtId="0" fontId="2" fillId="12" borderId="0" xfId="0" applyFont="1" applyFill="1"/>
    <xf numFmtId="0" fontId="0" fillId="12" borderId="0" xfId="0" applyFill="1"/>
    <xf numFmtId="0" fontId="0" fillId="12" borderId="0" xfId="0" applyFont="1" applyFill="1"/>
    <xf numFmtId="0" fontId="2" fillId="12" borderId="7" xfId="0" applyFont="1" applyFill="1" applyBorder="1"/>
    <xf numFmtId="0" fontId="0" fillId="12" borderId="7" xfId="0" applyFont="1" applyFill="1" applyBorder="1"/>
    <xf numFmtId="0" fontId="2" fillId="12" borderId="7" xfId="0" applyFont="1" applyFill="1" applyBorder="1" applyAlignment="1">
      <alignment horizontal="center"/>
    </xf>
    <xf numFmtId="0" fontId="2" fillId="12" borderId="7" xfId="0" applyFont="1" applyFill="1" applyBorder="1" applyAlignment="1">
      <alignment wrapText="1"/>
    </xf>
    <xf numFmtId="0" fontId="0" fillId="12" borderId="7" xfId="0" applyFill="1" applyBorder="1" applyAlignment="1">
      <alignment horizontal="center" vertical="center"/>
    </xf>
    <xf numFmtId="0" fontId="0" fillId="12" borderId="7" xfId="0" applyFill="1" applyBorder="1" applyAlignment="1">
      <alignment horizontal="center" vertical="center" wrapText="1"/>
    </xf>
    <xf numFmtId="0" fontId="2" fillId="12" borderId="7" xfId="0" applyFont="1" applyFill="1" applyBorder="1" applyAlignment="1">
      <alignment vertical="center" wrapText="1"/>
    </xf>
    <xf numFmtId="44" fontId="0" fillId="0" borderId="7" xfId="4" applyFont="1" applyBorder="1" applyAlignment="1">
      <alignment horizontal="center" vertical="center"/>
    </xf>
    <xf numFmtId="0" fontId="0" fillId="0" borderId="7" xfId="0" applyBorder="1" applyAlignment="1">
      <alignment horizontal="left" vertical="center"/>
    </xf>
    <xf numFmtId="44" fontId="2" fillId="0" borderId="0" xfId="0" applyNumberFormat="1" applyFont="1" applyBorder="1" applyAlignment="1">
      <alignment vertical="center"/>
    </xf>
    <xf numFmtId="0" fontId="0" fillId="0" borderId="0" xfId="0" applyBorder="1" applyAlignment="1">
      <alignment horizontal="left" vertical="center"/>
    </xf>
    <xf numFmtId="44" fontId="0" fillId="0" borderId="0" xfId="4" applyFont="1" applyBorder="1" applyAlignment="1">
      <alignment horizontal="center" vertical="center"/>
    </xf>
    <xf numFmtId="9" fontId="0" fillId="0" borderId="0" xfId="1" applyFont="1" applyBorder="1" applyAlignment="1">
      <alignment horizontal="center" vertical="center"/>
    </xf>
    <xf numFmtId="44" fontId="2" fillId="0" borderId="19" xfId="0" applyNumberFormat="1" applyFont="1" applyBorder="1" applyAlignment="1">
      <alignment vertical="center"/>
    </xf>
    <xf numFmtId="0" fontId="2" fillId="0" borderId="7" xfId="0" applyFont="1" applyBorder="1" applyAlignment="1">
      <alignment horizontal="left" vertical="center"/>
    </xf>
    <xf numFmtId="44" fontId="2" fillId="0" borderId="7" xfId="4" applyFont="1" applyBorder="1" applyAlignment="1">
      <alignment horizontal="center" vertical="center"/>
    </xf>
    <xf numFmtId="9" fontId="2" fillId="0" borderId="7" xfId="1" applyFont="1" applyBorder="1" applyAlignment="1">
      <alignment horizontal="center" vertical="center"/>
    </xf>
    <xf numFmtId="44" fontId="0" fillId="0" borderId="2" xfId="4" applyFont="1" applyBorder="1" applyAlignment="1">
      <alignment horizontal="center" vertical="center"/>
    </xf>
    <xf numFmtId="0" fontId="0" fillId="3" borderId="7" xfId="0" applyFill="1" applyBorder="1" applyAlignment="1">
      <alignment vertical="center" wrapText="1"/>
    </xf>
    <xf numFmtId="1" fontId="0" fillId="9" borderId="7" xfId="0" applyNumberFormat="1" applyFill="1" applyBorder="1" applyAlignment="1">
      <alignment horizontal="center" vertical="center"/>
    </xf>
    <xf numFmtId="0" fontId="0" fillId="4" borderId="7" xfId="0" applyFill="1" applyBorder="1" applyAlignment="1">
      <alignment vertical="center"/>
    </xf>
    <xf numFmtId="1" fontId="0" fillId="4" borderId="7" xfId="0" applyNumberFormat="1" applyFill="1" applyBorder="1" applyAlignment="1">
      <alignment horizontal="center" vertical="center"/>
    </xf>
    <xf numFmtId="44" fontId="0" fillId="4" borderId="7" xfId="4" applyFont="1" applyFill="1" applyBorder="1" applyAlignment="1">
      <alignment vertical="center"/>
    </xf>
    <xf numFmtId="44" fontId="0" fillId="4" borderId="7" xfId="0" applyNumberFormat="1" applyFill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44" fontId="2" fillId="4" borderId="7" xfId="0" applyNumberFormat="1" applyFont="1" applyFill="1" applyBorder="1" applyAlignment="1">
      <alignment vertical="center"/>
    </xf>
    <xf numFmtId="44" fontId="2" fillId="12" borderId="7" xfId="0" applyNumberFormat="1" applyFont="1" applyFill="1" applyBorder="1"/>
    <xf numFmtId="0" fontId="0" fillId="12" borderId="7" xfId="0" applyFill="1" applyBorder="1" applyAlignment="1">
      <alignment wrapText="1"/>
    </xf>
    <xf numFmtId="0" fontId="0" fillId="12" borderId="7" xfId="0" applyFont="1" applyFill="1" applyBorder="1" applyAlignment="1">
      <alignment vertical="center"/>
    </xf>
    <xf numFmtId="44" fontId="0" fillId="12" borderId="7" xfId="4" applyFont="1" applyFill="1" applyBorder="1"/>
    <xf numFmtId="44" fontId="1" fillId="12" borderId="7" xfId="4" applyFont="1" applyFill="1" applyBorder="1"/>
    <xf numFmtId="1" fontId="0" fillId="17" borderId="7" xfId="0" applyNumberFormat="1" applyFill="1" applyBorder="1" applyAlignment="1">
      <alignment horizontal="center"/>
    </xf>
    <xf numFmtId="9" fontId="0" fillId="17" borderId="7" xfId="0" applyNumberFormat="1" applyFill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2" fillId="21" borderId="7" xfId="0" applyFont="1" applyFill="1" applyBorder="1" applyAlignment="1">
      <alignment vertical="center" wrapText="1"/>
    </xf>
    <xf numFmtId="44" fontId="0" fillId="12" borderId="7" xfId="4" applyFont="1" applyFill="1" applyBorder="1" applyAlignment="1">
      <alignment vertical="center"/>
    </xf>
    <xf numFmtId="0" fontId="2" fillId="21" borderId="7" xfId="0" applyFont="1" applyFill="1" applyBorder="1" applyAlignment="1">
      <alignment vertical="center"/>
    </xf>
    <xf numFmtId="0" fontId="2" fillId="21" borderId="0" xfId="0" applyFont="1" applyFill="1" applyAlignment="1">
      <alignment vertical="center"/>
    </xf>
    <xf numFmtId="44" fontId="0" fillId="0" borderId="11" xfId="4" applyFont="1" applyBorder="1" applyAlignment="1">
      <alignment vertical="center"/>
    </xf>
    <xf numFmtId="1" fontId="0" fillId="12" borderId="7" xfId="0" applyNumberFormat="1" applyFill="1" applyBorder="1" applyAlignment="1">
      <alignment horizontal="center" vertical="center"/>
    </xf>
    <xf numFmtId="0" fontId="0" fillId="12" borderId="7" xfId="0" applyFill="1" applyBorder="1" applyAlignment="1">
      <alignment vertical="center"/>
    </xf>
    <xf numFmtId="44" fontId="0" fillId="12" borderId="7" xfId="0" applyNumberFormat="1" applyFill="1" applyBorder="1" applyAlignment="1">
      <alignment vertical="center"/>
    </xf>
    <xf numFmtId="0" fontId="2" fillId="12" borderId="7" xfId="0" applyFont="1" applyFill="1" applyBorder="1" applyAlignment="1">
      <alignment vertical="center"/>
    </xf>
    <xf numFmtId="44" fontId="2" fillId="12" borderId="7" xfId="0" applyNumberFormat="1" applyFont="1" applyFill="1" applyBorder="1" applyAlignment="1">
      <alignment vertical="center"/>
    </xf>
    <xf numFmtId="0" fontId="2" fillId="12" borderId="0" xfId="0" applyFont="1" applyFill="1" applyBorder="1"/>
    <xf numFmtId="44" fontId="2" fillId="12" borderId="0" xfId="0" applyNumberFormat="1" applyFont="1" applyFill="1" applyBorder="1"/>
    <xf numFmtId="0" fontId="0" fillId="12" borderId="0" xfId="0" applyFont="1" applyFill="1" applyBorder="1"/>
    <xf numFmtId="0" fontId="0" fillId="0" borderId="0" xfId="0" applyAlignment="1">
      <alignment horizontal="center" vertical="center"/>
    </xf>
    <xf numFmtId="0" fontId="27" fillId="22" borderId="62" xfId="0" applyFont="1" applyFill="1" applyBorder="1" applyAlignment="1">
      <alignment vertical="center"/>
    </xf>
    <xf numFmtId="0" fontId="27" fillId="22" borderId="63" xfId="0" applyFont="1" applyFill="1" applyBorder="1" applyAlignment="1">
      <alignment vertical="center"/>
    </xf>
    <xf numFmtId="0" fontId="26" fillId="22" borderId="35" xfId="0" applyFont="1" applyFill="1" applyBorder="1" applyAlignment="1">
      <alignment vertical="center"/>
    </xf>
    <xf numFmtId="0" fontId="27" fillId="18" borderId="64" xfId="0" applyFont="1" applyFill="1" applyBorder="1" applyAlignment="1">
      <alignment vertical="center"/>
    </xf>
    <xf numFmtId="0" fontId="26" fillId="22" borderId="64" xfId="0" applyFont="1" applyFill="1" applyBorder="1" applyAlignment="1">
      <alignment vertical="center"/>
    </xf>
    <xf numFmtId="0" fontId="26" fillId="22" borderId="64" xfId="0" applyFont="1" applyFill="1" applyBorder="1" applyAlignment="1">
      <alignment horizontal="right" vertical="center"/>
    </xf>
    <xf numFmtId="0" fontId="31" fillId="0" borderId="7" xfId="0" applyFont="1" applyBorder="1" applyAlignment="1">
      <alignment horizontal="center" vertical="center" wrapText="1"/>
    </xf>
    <xf numFmtId="49" fontId="31" fillId="0" borderId="7" xfId="0" applyNumberFormat="1" applyFont="1" applyBorder="1" applyAlignment="1">
      <alignment horizontal="center" vertical="center" wrapText="1"/>
    </xf>
    <xf numFmtId="9" fontId="32" fillId="21" borderId="7" xfId="1" applyFont="1" applyFill="1" applyBorder="1" applyAlignment="1">
      <alignment horizontal="center" vertical="center" wrapText="1"/>
    </xf>
    <xf numFmtId="9" fontId="0" fillId="0" borderId="0" xfId="0" applyNumberFormat="1" applyAlignment="1">
      <alignment horizontal="center" vertical="center"/>
    </xf>
    <xf numFmtId="0" fontId="0" fillId="5" borderId="7" xfId="0" applyFill="1" applyBorder="1" applyAlignment="1">
      <alignment horizontal="center"/>
    </xf>
    <xf numFmtId="1" fontId="0" fillId="5" borderId="7" xfId="0" applyNumberFormat="1" applyFill="1" applyBorder="1" applyAlignment="1">
      <alignment horizontal="center"/>
    </xf>
    <xf numFmtId="0" fontId="2" fillId="0" borderId="0" xfId="0" applyFont="1" applyBorder="1"/>
    <xf numFmtId="0" fontId="2" fillId="0" borderId="0" xfId="0" applyFont="1" applyAlignment="1">
      <alignment horizontal="center" vertical="center"/>
    </xf>
    <xf numFmtId="0" fontId="0" fillId="0" borderId="7" xfId="0" applyFont="1" applyBorder="1" applyAlignment="1">
      <alignment horizontal="center"/>
    </xf>
    <xf numFmtId="44" fontId="1" fillId="0" borderId="0" xfId="4"/>
    <xf numFmtId="0" fontId="12" fillId="0" borderId="0" xfId="5"/>
    <xf numFmtId="44" fontId="1" fillId="0" borderId="7" xfId="4" applyBorder="1"/>
    <xf numFmtId="44" fontId="0" fillId="0" borderId="7" xfId="0" applyNumberFormat="1" applyBorder="1"/>
    <xf numFmtId="0" fontId="2" fillId="0" borderId="42" xfId="0" applyFont="1" applyBorder="1" applyAlignment="1">
      <alignment horizontal="center" vertical="center" wrapText="1"/>
    </xf>
    <xf numFmtId="38" fontId="0" fillId="0" borderId="32" xfId="0" applyNumberFormat="1" applyBorder="1" applyAlignment="1">
      <alignment vertical="center"/>
    </xf>
    <xf numFmtId="1" fontId="2" fillId="5" borderId="7" xfId="0" applyNumberFormat="1" applyFont="1" applyFill="1" applyBorder="1" applyAlignment="1">
      <alignment horizontal="center"/>
    </xf>
    <xf numFmtId="0" fontId="0" fillId="4" borderId="7" xfId="0" applyFont="1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1" fontId="2" fillId="4" borderId="7" xfId="0" applyNumberFormat="1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0" fontId="24" fillId="11" borderId="7" xfId="0" applyFont="1" applyFill="1" applyBorder="1" applyAlignment="1">
      <alignment horizontal="center"/>
    </xf>
    <xf numFmtId="164" fontId="2" fillId="0" borderId="7" xfId="1" applyNumberFormat="1" applyFont="1" applyBorder="1" applyAlignment="1">
      <alignment horizontal="center" vertical="center"/>
    </xf>
    <xf numFmtId="0" fontId="2" fillId="12" borderId="0" xfId="0" applyFont="1" applyFill="1" applyBorder="1" applyAlignment="1">
      <alignment vertical="center"/>
    </xf>
    <xf numFmtId="0" fontId="33" fillId="12" borderId="65" xfId="0" applyFont="1" applyFill="1" applyBorder="1" applyAlignment="1">
      <alignment horizontal="center" vertical="center" wrapText="1" readingOrder="1"/>
    </xf>
    <xf numFmtId="0" fontId="34" fillId="12" borderId="65" xfId="0" applyFont="1" applyFill="1" applyBorder="1" applyAlignment="1">
      <alignment horizontal="left" vertical="center" wrapText="1" readingOrder="1"/>
    </xf>
    <xf numFmtId="3" fontId="34" fillId="12" borderId="65" xfId="0" applyNumberFormat="1" applyFont="1" applyFill="1" applyBorder="1" applyAlignment="1">
      <alignment horizontal="center" vertical="center" wrapText="1" readingOrder="1"/>
    </xf>
    <xf numFmtId="0" fontId="2" fillId="12" borderId="0" xfId="0" applyFont="1" applyFill="1" applyAlignment="1">
      <alignment vertical="center"/>
    </xf>
    <xf numFmtId="0" fontId="0" fillId="12" borderId="7" xfId="0" applyFill="1" applyBorder="1" applyAlignment="1">
      <alignment horizontal="left" vertical="center"/>
    </xf>
    <xf numFmtId="44" fontId="0" fillId="12" borderId="7" xfId="4" applyFont="1" applyFill="1" applyBorder="1" applyAlignment="1">
      <alignment horizontal="center" vertical="center"/>
    </xf>
    <xf numFmtId="9" fontId="0" fillId="12" borderId="7" xfId="1" applyFont="1" applyFill="1" applyBorder="1" applyAlignment="1">
      <alignment horizontal="center" vertical="center"/>
    </xf>
    <xf numFmtId="44" fontId="0" fillId="12" borderId="2" xfId="4" applyFont="1" applyFill="1" applyBorder="1" applyAlignment="1">
      <alignment horizontal="center" vertical="center"/>
    </xf>
    <xf numFmtId="0" fontId="2" fillId="12" borderId="7" xfId="0" applyFont="1" applyFill="1" applyBorder="1" applyAlignment="1">
      <alignment horizontal="left" vertical="center"/>
    </xf>
    <xf numFmtId="44" fontId="2" fillId="12" borderId="7" xfId="4" applyFont="1" applyFill="1" applyBorder="1" applyAlignment="1">
      <alignment horizontal="center" vertical="center"/>
    </xf>
    <xf numFmtId="9" fontId="2" fillId="12" borderId="7" xfId="1" applyFont="1" applyFill="1" applyBorder="1" applyAlignment="1">
      <alignment horizontal="center" vertical="center"/>
    </xf>
    <xf numFmtId="0" fontId="0" fillId="12" borderId="7" xfId="0" applyFill="1" applyBorder="1"/>
    <xf numFmtId="0" fontId="0" fillId="12" borderId="7" xfId="0" applyFill="1" applyBorder="1" applyAlignment="1">
      <alignment vertical="center" wrapText="1"/>
    </xf>
    <xf numFmtId="0" fontId="2" fillId="12" borderId="0" xfId="0" applyFont="1" applyFill="1" applyAlignment="1">
      <alignment wrapText="1"/>
    </xf>
    <xf numFmtId="44" fontId="2" fillId="12" borderId="19" xfId="0" applyNumberFormat="1" applyFont="1" applyFill="1" applyBorder="1" applyAlignment="1">
      <alignment vertical="center"/>
    </xf>
    <xf numFmtId="44" fontId="2" fillId="12" borderId="0" xfId="0" applyNumberFormat="1" applyFont="1" applyFill="1" applyBorder="1" applyAlignment="1">
      <alignment vertical="center"/>
    </xf>
    <xf numFmtId="0" fontId="0" fillId="12" borderId="0" xfId="0" applyFill="1" applyBorder="1" applyAlignment="1">
      <alignment horizontal="left" vertical="center"/>
    </xf>
    <xf numFmtId="44" fontId="0" fillId="12" borderId="0" xfId="4" applyFont="1" applyFill="1" applyBorder="1" applyAlignment="1">
      <alignment horizontal="center" vertical="center"/>
    </xf>
    <xf numFmtId="9" fontId="0" fillId="12" borderId="0" xfId="1" applyFont="1" applyFill="1" applyBorder="1" applyAlignment="1">
      <alignment horizontal="center" vertical="center"/>
    </xf>
    <xf numFmtId="1" fontId="0" fillId="12" borderId="7" xfId="0" applyNumberFormat="1" applyFill="1" applyBorder="1" applyAlignment="1">
      <alignment horizontal="center" vertical="center" wrapText="1"/>
    </xf>
    <xf numFmtId="0" fontId="2" fillId="12" borderId="0" xfId="0" applyFont="1" applyFill="1" applyAlignment="1">
      <alignment vertical="center" wrapText="1"/>
    </xf>
    <xf numFmtId="0" fontId="2" fillId="12" borderId="7" xfId="0" applyFont="1" applyFill="1" applyBorder="1" applyAlignment="1">
      <alignment horizontal="center" vertical="center" wrapText="1"/>
    </xf>
    <xf numFmtId="0" fontId="0" fillId="12" borderId="0" xfId="0" applyFill="1" applyAlignment="1">
      <alignment wrapText="1"/>
    </xf>
    <xf numFmtId="0" fontId="0" fillId="12" borderId="2" xfId="0" applyFill="1" applyBorder="1"/>
    <xf numFmtId="44" fontId="0" fillId="12" borderId="7" xfId="4" applyFont="1" applyFill="1" applyBorder="1" applyAlignment="1">
      <alignment horizontal="center"/>
    </xf>
    <xf numFmtId="9" fontId="0" fillId="12" borderId="7" xfId="0" applyNumberFormat="1" applyFill="1" applyBorder="1" applyAlignment="1">
      <alignment horizontal="center"/>
    </xf>
    <xf numFmtId="0" fontId="0" fillId="12" borderId="2" xfId="0" applyFill="1" applyBorder="1" applyAlignment="1">
      <alignment wrapText="1"/>
    </xf>
    <xf numFmtId="0" fontId="2" fillId="12" borderId="2" xfId="0" applyFont="1" applyFill="1" applyBorder="1" applyAlignment="1">
      <alignment wrapText="1"/>
    </xf>
    <xf numFmtId="44" fontId="2" fillId="12" borderId="7" xfId="4" applyFont="1" applyFill="1" applyBorder="1" applyAlignment="1">
      <alignment horizontal="center"/>
    </xf>
    <xf numFmtId="9" fontId="0" fillId="12" borderId="7" xfId="1" applyFont="1" applyFill="1" applyBorder="1" applyAlignment="1">
      <alignment horizontal="center"/>
    </xf>
    <xf numFmtId="0" fontId="2" fillId="12" borderId="2" xfId="0" applyFont="1" applyFill="1" applyBorder="1"/>
    <xf numFmtId="0" fontId="2" fillId="12" borderId="7" xfId="0" applyFont="1" applyFill="1" applyBorder="1" applyAlignment="1">
      <alignment horizontal="center" wrapText="1"/>
    </xf>
    <xf numFmtId="0" fontId="33" fillId="12" borderId="65" xfId="0" applyFont="1" applyFill="1" applyBorder="1" applyAlignment="1">
      <alignment horizontal="left" vertical="center" wrapText="1" readingOrder="1"/>
    </xf>
    <xf numFmtId="3" fontId="33" fillId="12" borderId="65" xfId="0" applyNumberFormat="1" applyFont="1" applyFill="1" applyBorder="1" applyAlignment="1">
      <alignment horizontal="center" vertical="center" wrapText="1" readingOrder="1"/>
    </xf>
    <xf numFmtId="0" fontId="34" fillId="12" borderId="65" xfId="0" applyFont="1" applyFill="1" applyBorder="1" applyAlignment="1">
      <alignment horizontal="center" vertical="center" wrapText="1" readingOrder="1"/>
    </xf>
    <xf numFmtId="0" fontId="22" fillId="12" borderId="0" xfId="0" applyFont="1" applyFill="1" applyBorder="1" applyAlignment="1">
      <alignment vertical="center"/>
    </xf>
    <xf numFmtId="0" fontId="2" fillId="6" borderId="18" xfId="0" applyFont="1" applyFill="1" applyBorder="1"/>
    <xf numFmtId="38" fontId="0" fillId="6" borderId="19" xfId="0" applyNumberFormat="1" applyFill="1" applyBorder="1"/>
    <xf numFmtId="166" fontId="0" fillId="6" borderId="19" xfId="1" applyNumberFormat="1" applyFont="1" applyFill="1" applyBorder="1" applyAlignment="1">
      <alignment horizontal="center"/>
    </xf>
    <xf numFmtId="0" fontId="0" fillId="16" borderId="52" xfId="0" applyFill="1" applyBorder="1" applyAlignment="1"/>
    <xf numFmtId="0" fontId="0" fillId="0" borderId="68" xfId="0" applyBorder="1"/>
    <xf numFmtId="0" fontId="0" fillId="0" borderId="49" xfId="0" applyBorder="1"/>
    <xf numFmtId="0" fontId="6" fillId="12" borderId="0" xfId="0" applyFont="1" applyFill="1" applyBorder="1" applyAlignment="1">
      <alignment horizontal="center"/>
    </xf>
    <xf numFmtId="0" fontId="0" fillId="6" borderId="18" xfId="0" applyFont="1" applyFill="1" applyBorder="1"/>
    <xf numFmtId="38" fontId="0" fillId="6" borderId="19" xfId="0" applyNumberFormat="1" applyFont="1" applyFill="1" applyBorder="1"/>
    <xf numFmtId="166" fontId="1" fillId="6" borderId="19" xfId="1" applyNumberFormat="1" applyFont="1" applyFill="1" applyBorder="1" applyAlignment="1">
      <alignment horizontal="center"/>
    </xf>
    <xf numFmtId="0" fontId="2" fillId="6" borderId="7" xfId="0" applyFont="1" applyFill="1" applyBorder="1"/>
    <xf numFmtId="0" fontId="17" fillId="0" borderId="21" xfId="0" applyFont="1" applyFill="1" applyBorder="1" applyAlignment="1">
      <alignment wrapText="1"/>
    </xf>
    <xf numFmtId="0" fontId="35" fillId="12" borderId="66" xfId="0" applyFont="1" applyFill="1" applyBorder="1" applyAlignment="1">
      <alignment horizontal="center" vertical="center"/>
    </xf>
    <xf numFmtId="0" fontId="35" fillId="12" borderId="66" xfId="0" applyFont="1" applyFill="1" applyBorder="1" applyAlignment="1">
      <alignment horizontal="center" vertical="center" wrapText="1"/>
    </xf>
    <xf numFmtId="164" fontId="0" fillId="0" borderId="7" xfId="0" applyNumberFormat="1" applyBorder="1" applyAlignment="1">
      <alignment horizontal="center" vertical="center"/>
    </xf>
    <xf numFmtId="38" fontId="0" fillId="0" borderId="58" xfId="0" applyNumberFormat="1" applyBorder="1" applyAlignment="1">
      <alignment vertical="center"/>
    </xf>
    <xf numFmtId="0" fontId="2" fillId="0" borderId="57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166" fontId="0" fillId="0" borderId="40" xfId="1" applyNumberFormat="1" applyFont="1" applyBorder="1" applyAlignment="1">
      <alignment horizontal="center" vertical="center"/>
    </xf>
    <xf numFmtId="166" fontId="0" fillId="0" borderId="41" xfId="1" applyNumberFormat="1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 wrapText="1"/>
    </xf>
    <xf numFmtId="0" fontId="0" fillId="16" borderId="52" xfId="0" applyFill="1" applyBorder="1" applyAlignment="1">
      <alignment horizontal="center"/>
    </xf>
    <xf numFmtId="0" fontId="0" fillId="16" borderId="54" xfId="0" applyFill="1" applyBorder="1" applyAlignment="1">
      <alignment horizontal="center"/>
    </xf>
    <xf numFmtId="38" fontId="0" fillId="0" borderId="32" xfId="0" applyNumberFormat="1" applyBorder="1" applyAlignment="1">
      <alignment vertical="center"/>
    </xf>
    <xf numFmtId="38" fontId="0" fillId="0" borderId="33" xfId="0" applyNumberFormat="1" applyBorder="1" applyAlignment="1">
      <alignment vertical="center"/>
    </xf>
    <xf numFmtId="38" fontId="0" fillId="0" borderId="37" xfId="0" applyNumberFormat="1" applyBorder="1" applyAlignment="1">
      <alignment vertical="center"/>
    </xf>
    <xf numFmtId="0" fontId="2" fillId="9" borderId="29" xfId="0" applyFont="1" applyFill="1" applyBorder="1" applyAlignment="1">
      <alignment horizontal="center" vertical="center" textRotation="90"/>
    </xf>
    <xf numFmtId="0" fontId="2" fillId="9" borderId="30" xfId="0" applyFont="1" applyFill="1" applyBorder="1" applyAlignment="1">
      <alignment horizontal="center" vertical="center" textRotation="90"/>
    </xf>
    <xf numFmtId="0" fontId="2" fillId="9" borderId="35" xfId="0" applyFont="1" applyFill="1" applyBorder="1" applyAlignment="1">
      <alignment horizontal="center" vertical="center" textRotation="90"/>
    </xf>
    <xf numFmtId="0" fontId="2" fillId="15" borderId="29" xfId="0" applyFont="1" applyFill="1" applyBorder="1" applyAlignment="1">
      <alignment horizontal="center" vertical="center" textRotation="90"/>
    </xf>
    <xf numFmtId="0" fontId="2" fillId="15" borderId="30" xfId="0" applyFont="1" applyFill="1" applyBorder="1" applyAlignment="1">
      <alignment horizontal="center" vertical="center" textRotation="90"/>
    </xf>
    <xf numFmtId="0" fontId="2" fillId="15" borderId="35" xfId="0" applyFont="1" applyFill="1" applyBorder="1" applyAlignment="1">
      <alignment horizontal="center" vertical="center" textRotation="90"/>
    </xf>
    <xf numFmtId="166" fontId="0" fillId="0" borderId="20" xfId="1" applyNumberFormat="1" applyFont="1" applyBorder="1" applyAlignment="1">
      <alignment horizontal="center" vertical="center"/>
    </xf>
    <xf numFmtId="38" fontId="0" fillId="0" borderId="53" xfId="0" applyNumberFormat="1" applyBorder="1" applyAlignment="1">
      <alignment vertical="center"/>
    </xf>
    <xf numFmtId="38" fontId="0" fillId="0" borderId="55" xfId="0" applyNumberFormat="1" applyBorder="1" applyAlignment="1">
      <alignment vertical="center"/>
    </xf>
    <xf numFmtId="0" fontId="5" fillId="0" borderId="0" xfId="0" applyFont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2" fillId="14" borderId="29" xfId="0" applyFont="1" applyFill="1" applyBorder="1" applyAlignment="1">
      <alignment horizontal="center" vertical="center" textRotation="90"/>
    </xf>
    <xf numFmtId="0" fontId="2" fillId="14" borderId="30" xfId="0" applyFont="1" applyFill="1" applyBorder="1" applyAlignment="1">
      <alignment horizontal="center" vertical="center" textRotation="90"/>
    </xf>
    <xf numFmtId="0" fontId="2" fillId="14" borderId="35" xfId="0" applyFont="1" applyFill="1" applyBorder="1" applyAlignment="1">
      <alignment horizontal="center" vertical="center" textRotation="90"/>
    </xf>
    <xf numFmtId="164" fontId="0" fillId="0" borderId="31" xfId="1" applyNumberFormat="1" applyFont="1" applyBorder="1" applyAlignment="1">
      <alignment horizontal="center" vertical="center"/>
    </xf>
    <xf numFmtId="164" fontId="0" fillId="0" borderId="19" xfId="1" applyNumberFormat="1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38" fontId="0" fillId="0" borderId="34" xfId="0" applyNumberFormat="1" applyBorder="1" applyAlignment="1">
      <alignment vertical="center"/>
    </xf>
    <xf numFmtId="0" fontId="2" fillId="0" borderId="44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164" fontId="0" fillId="0" borderId="67" xfId="0" applyNumberFormat="1" applyBorder="1" applyAlignment="1">
      <alignment horizontal="center" vertical="center"/>
    </xf>
    <xf numFmtId="38" fontId="0" fillId="0" borderId="51" xfId="0" applyNumberFormat="1" applyBorder="1" applyAlignment="1">
      <alignment vertical="center"/>
    </xf>
    <xf numFmtId="0" fontId="2" fillId="17" borderId="57" xfId="0" applyFont="1" applyFill="1" applyBorder="1" applyAlignment="1">
      <alignment horizontal="center" vertical="center" wrapText="1"/>
    </xf>
    <xf numFmtId="0" fontId="2" fillId="17" borderId="48" xfId="0" applyFont="1" applyFill="1" applyBorder="1" applyAlignment="1">
      <alignment horizontal="center" vertical="center" wrapText="1"/>
    </xf>
    <xf numFmtId="44" fontId="0" fillId="16" borderId="59" xfId="4" applyFont="1" applyFill="1" applyBorder="1" applyAlignment="1">
      <alignment horizontal="center" vertical="center"/>
    </xf>
    <xf numFmtId="44" fontId="0" fillId="16" borderId="61" xfId="4" applyFont="1" applyFill="1" applyBorder="1" applyAlignment="1">
      <alignment horizontal="center" vertical="center"/>
    </xf>
    <xf numFmtId="0" fontId="0" fillId="16" borderId="59" xfId="0" applyFill="1" applyBorder="1" applyAlignment="1">
      <alignment horizontal="center"/>
    </xf>
    <xf numFmtId="0" fontId="0" fillId="16" borderId="61" xfId="0" applyFill="1" applyBorder="1" applyAlignment="1">
      <alignment horizontal="center"/>
    </xf>
    <xf numFmtId="164" fontId="0" fillId="0" borderId="31" xfId="0" applyNumberForma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</cellXfs>
  <cellStyles count="6">
    <cellStyle name="Moneda" xfId="4" builtinId="4"/>
    <cellStyle name="Moneda [0] 2" xfId="3" xr:uid="{A992ABAA-283D-471B-9314-69906D56DB2D}"/>
    <cellStyle name="Normal" xfId="0" builtinId="0"/>
    <cellStyle name="Normal 2" xfId="5" xr:uid="{21B7B0F9-8472-4DAF-8226-36AFF70CDD8B}"/>
    <cellStyle name="Normal 3 2" xfId="2" xr:uid="{94244F47-F752-4782-AAE3-FE5194DCAEFE}"/>
    <cellStyle name="Porcentaje" xfId="1" builtinId="5"/>
  </cellStyles>
  <dxfs count="10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</dxf>
    <dxf>
      <numFmt numFmtId="3" formatCode="#,##0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numFmt numFmtId="3" formatCode="#,##0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numFmt numFmtId="3" formatCode="#,##0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 val="0"/>
        <color theme="9" tint="-0.24994659260841701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5.xml"/><Relationship Id="rId21" Type="http://schemas.openxmlformats.org/officeDocument/2006/relationships/externalLink" Target="externalLinks/externalLink1.xml"/><Relationship Id="rId34" Type="http://schemas.openxmlformats.org/officeDocument/2006/relationships/pivotCacheDefinition" Target="pivotCache/pivotCacheDefinition13.xml"/><Relationship Id="rId42" Type="http://schemas.openxmlformats.org/officeDocument/2006/relationships/connections" Target="connections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55" Type="http://schemas.openxmlformats.org/officeDocument/2006/relationships/customXml" Target="../customXml/item8.xml"/><Relationship Id="rId63" Type="http://schemas.openxmlformats.org/officeDocument/2006/relationships/customXml" Target="../customXml/item16.xml"/><Relationship Id="rId68" Type="http://schemas.openxmlformats.org/officeDocument/2006/relationships/customXml" Target="../customXml/item2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pivotCacheDefinition" Target="pivotCache/pivotCacheDefinition8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3.xml"/><Relationship Id="rId32" Type="http://schemas.openxmlformats.org/officeDocument/2006/relationships/pivotCacheDefinition" Target="pivotCache/pivotCacheDefinition11.xml"/><Relationship Id="rId37" Type="http://schemas.openxmlformats.org/officeDocument/2006/relationships/pivotCacheDefinition" Target="pivotCache/pivotCacheDefinition16.xml"/><Relationship Id="rId40" Type="http://schemas.microsoft.com/office/2007/relationships/slicerCache" Target="slicerCaches/slicerCache3.xml"/><Relationship Id="rId45" Type="http://schemas.openxmlformats.org/officeDocument/2006/relationships/sheetMetadata" Target="metadata.xml"/><Relationship Id="rId53" Type="http://schemas.openxmlformats.org/officeDocument/2006/relationships/customXml" Target="../customXml/item6.xml"/><Relationship Id="rId58" Type="http://schemas.openxmlformats.org/officeDocument/2006/relationships/customXml" Target="../customXml/item11.xml"/><Relationship Id="rId66" Type="http://schemas.openxmlformats.org/officeDocument/2006/relationships/customXml" Target="../customXml/item19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1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pivotCacheDefinition" Target="pivotCache/pivotCacheDefinition6.xml"/><Relationship Id="rId30" Type="http://schemas.openxmlformats.org/officeDocument/2006/relationships/pivotCacheDefinition" Target="pivotCache/pivotCacheDefinition9.xml"/><Relationship Id="rId35" Type="http://schemas.openxmlformats.org/officeDocument/2006/relationships/pivotCacheDefinition" Target="pivotCache/pivotCacheDefinition14.xml"/><Relationship Id="rId43" Type="http://schemas.openxmlformats.org/officeDocument/2006/relationships/styles" Target="styles.xml"/><Relationship Id="rId48" Type="http://schemas.openxmlformats.org/officeDocument/2006/relationships/customXml" Target="../customXml/item1.xml"/><Relationship Id="rId56" Type="http://schemas.openxmlformats.org/officeDocument/2006/relationships/customXml" Target="../customXml/item9.xml"/><Relationship Id="rId64" Type="http://schemas.openxmlformats.org/officeDocument/2006/relationships/customXml" Target="../customXml/item17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4.xml"/><Relationship Id="rId33" Type="http://schemas.openxmlformats.org/officeDocument/2006/relationships/pivotCacheDefinition" Target="pivotCache/pivotCacheDefinition12.xml"/><Relationship Id="rId38" Type="http://schemas.microsoft.com/office/2007/relationships/slicerCache" Target="slicerCaches/slicerCache1.xml"/><Relationship Id="rId46" Type="http://schemas.openxmlformats.org/officeDocument/2006/relationships/powerPivotData" Target="model/item.data"/><Relationship Id="rId59" Type="http://schemas.openxmlformats.org/officeDocument/2006/relationships/customXml" Target="../customXml/item12.xml"/><Relationship Id="rId67" Type="http://schemas.openxmlformats.org/officeDocument/2006/relationships/customXml" Target="../customXml/item20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Relationship Id="rId54" Type="http://schemas.openxmlformats.org/officeDocument/2006/relationships/customXml" Target="../customXml/item7.xml"/><Relationship Id="rId62" Type="http://schemas.openxmlformats.org/officeDocument/2006/relationships/customXml" Target="../customXml/item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28" Type="http://schemas.openxmlformats.org/officeDocument/2006/relationships/pivotCacheDefinition" Target="pivotCache/pivotCacheDefinition7.xml"/><Relationship Id="rId36" Type="http://schemas.openxmlformats.org/officeDocument/2006/relationships/pivotCacheDefinition" Target="pivotCache/pivotCacheDefinition15.xml"/><Relationship Id="rId49" Type="http://schemas.openxmlformats.org/officeDocument/2006/relationships/customXml" Target="../customXml/item2.xml"/><Relationship Id="rId57" Type="http://schemas.openxmlformats.org/officeDocument/2006/relationships/customXml" Target="../customXml/item10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0.xml"/><Relationship Id="rId44" Type="http://schemas.openxmlformats.org/officeDocument/2006/relationships/sharedStrings" Target="sharedStrings.xml"/><Relationship Id="rId52" Type="http://schemas.openxmlformats.org/officeDocument/2006/relationships/customXml" Target="../customXml/item5.xml"/><Relationship Id="rId60" Type="http://schemas.openxmlformats.org/officeDocument/2006/relationships/customXml" Target="../customXml/item13.xml"/><Relationship Id="rId65" Type="http://schemas.openxmlformats.org/officeDocument/2006/relationships/customXml" Target="../customXml/item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microsoft.com/office/2007/relationships/slicerCache" Target="slicerCaches/slicerCache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none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cap="none" baseline="0" dirty="0">
                <a:solidFill>
                  <a:schemeClr val="tx1">
                    <a:lumMod val="75000"/>
                    <a:lumOff val="25000"/>
                  </a:schemeClr>
                </a:solidFill>
                <a:effectLst/>
              </a:rPr>
              <a:t>Evolución Margen IFA 2019-2022</a:t>
            </a:r>
            <a:endParaRPr lang="es-CO" cap="none" baseline="0" dirty="0">
              <a:solidFill>
                <a:schemeClr val="tx1">
                  <a:lumMod val="75000"/>
                  <a:lumOff val="25000"/>
                </a:schemeClr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none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014655309972481"/>
          <c:y val="0.24729208964514757"/>
          <c:w val="0.74363255394107242"/>
          <c:h val="0.59587851464374819"/>
        </c:manualLayout>
      </c:layout>
      <c:lineChart>
        <c:grouping val="standard"/>
        <c:varyColors val="0"/>
        <c:ser>
          <c:idx val="0"/>
          <c:order val="0"/>
          <c:tx>
            <c:strRef>
              <c:f>'[1]PPTO ING y GASTOS IFA'!$A$162</c:f>
              <c:strCache>
                <c:ptCount val="1"/>
                <c:pt idx="0">
                  <c:v>Ingresos</c:v>
                </c:pt>
              </c:strCache>
            </c:strRef>
          </c:tx>
          <c:spPr>
            <a:ln w="38100" cap="flat" cmpd="dbl" algn="ctr">
              <a:solidFill>
                <a:srgbClr val="00B050"/>
              </a:solidFill>
              <a:miter lim="800000"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'[1]PPTO ING y GASTOS IFA'!$B$161:$E$161</c:f>
              <c:strCache>
                <c:ptCount val="4"/>
                <c:pt idx="0">
                  <c:v>EJE 2019</c:v>
                </c:pt>
                <c:pt idx="1">
                  <c:v>EJE 2020</c:v>
                </c:pt>
                <c:pt idx="2">
                  <c:v>EJE 2021 (p)</c:v>
                </c:pt>
                <c:pt idx="3">
                  <c:v>PPTO 2022</c:v>
                </c:pt>
              </c:strCache>
            </c:strRef>
          </c:cat>
          <c:val>
            <c:numRef>
              <c:f>'[1]PPTO ING y GASTOS IFA'!$B$162:$E$162</c:f>
              <c:numCache>
                <c:formatCode>General</c:formatCode>
                <c:ptCount val="4"/>
                <c:pt idx="0">
                  <c:v>2733.0970000000002</c:v>
                </c:pt>
                <c:pt idx="1">
                  <c:v>2202.2750000000001</c:v>
                </c:pt>
                <c:pt idx="2">
                  <c:v>2505</c:v>
                </c:pt>
                <c:pt idx="3">
                  <c:v>2840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B2-45A4-9C0F-4DC04224958D}"/>
            </c:ext>
          </c:extLst>
        </c:ser>
        <c:ser>
          <c:idx val="1"/>
          <c:order val="1"/>
          <c:tx>
            <c:strRef>
              <c:f>'[1]PPTO ING y GASTOS IFA'!$A$163</c:f>
              <c:strCache>
                <c:ptCount val="1"/>
                <c:pt idx="0">
                  <c:v>Gastos</c:v>
                </c:pt>
              </c:strCache>
            </c:strRef>
          </c:tx>
          <c:spPr>
            <a:ln w="38100" cap="flat" cmpd="dbl" algn="ctr">
              <a:solidFill>
                <a:srgbClr val="FF0000"/>
              </a:solidFill>
              <a:miter lim="800000"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'[1]PPTO ING y GASTOS IFA'!$B$161:$E$161</c:f>
              <c:strCache>
                <c:ptCount val="4"/>
                <c:pt idx="0">
                  <c:v>EJE 2019</c:v>
                </c:pt>
                <c:pt idx="1">
                  <c:v>EJE 2020</c:v>
                </c:pt>
                <c:pt idx="2">
                  <c:v>EJE 2021 (p)</c:v>
                </c:pt>
                <c:pt idx="3">
                  <c:v>PPTO 2022</c:v>
                </c:pt>
              </c:strCache>
            </c:strRef>
          </c:cat>
          <c:val>
            <c:numRef>
              <c:f>'[1]PPTO ING y GASTOS IFA'!$B$163:$E$163</c:f>
              <c:numCache>
                <c:formatCode>General</c:formatCode>
                <c:ptCount val="4"/>
                <c:pt idx="0">
                  <c:v>4725.9639999999999</c:v>
                </c:pt>
                <c:pt idx="1">
                  <c:v>4009.576</c:v>
                </c:pt>
                <c:pt idx="2">
                  <c:v>3661.6109999999999</c:v>
                </c:pt>
                <c:pt idx="3">
                  <c:v>3954.2959999999998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B2-45A4-9C0F-4DC04224958D}"/>
            </c:ext>
          </c:extLst>
        </c:ser>
        <c:ser>
          <c:idx val="2"/>
          <c:order val="2"/>
          <c:tx>
            <c:strRef>
              <c:f>'[1]PPTO ING y GASTOS IFA'!$A$164</c:f>
              <c:strCache>
                <c:ptCount val="1"/>
                <c:pt idx="0">
                  <c:v>Margen</c:v>
                </c:pt>
              </c:strCache>
            </c:strRef>
          </c:tx>
          <c:spPr>
            <a:ln w="38100" cap="flat" cmpd="dbl" algn="ctr">
              <a:solidFill>
                <a:srgbClr val="FFC000"/>
              </a:solidFill>
              <a:miter lim="800000"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'[1]PPTO ING y GASTOS IFA'!$B$161:$E$161</c:f>
              <c:strCache>
                <c:ptCount val="4"/>
                <c:pt idx="0">
                  <c:v>EJE 2019</c:v>
                </c:pt>
                <c:pt idx="1">
                  <c:v>EJE 2020</c:v>
                </c:pt>
                <c:pt idx="2">
                  <c:v>EJE 2021 (p)</c:v>
                </c:pt>
                <c:pt idx="3">
                  <c:v>PPTO 2022</c:v>
                </c:pt>
              </c:strCache>
            </c:strRef>
          </c:cat>
          <c:val>
            <c:numRef>
              <c:f>'[1]PPTO ING y GASTOS IFA'!$B$164:$E$164</c:f>
              <c:numCache>
                <c:formatCode>General</c:formatCode>
                <c:ptCount val="4"/>
                <c:pt idx="0">
                  <c:v>-1992.867</c:v>
                </c:pt>
                <c:pt idx="1">
                  <c:v>-1807.3009999999999</c:v>
                </c:pt>
                <c:pt idx="2">
                  <c:v>-1156.6109999999999</c:v>
                </c:pt>
                <c:pt idx="3">
                  <c:v>-1114.2959999999998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B2-45A4-9C0F-4DC04224958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32878063"/>
        <c:axId val="932859759"/>
      </c:lineChart>
      <c:catAx>
        <c:axId val="9328780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2859759"/>
        <c:crosses val="autoZero"/>
        <c:auto val="1"/>
        <c:lblAlgn val="ctr"/>
        <c:lblOffset val="100"/>
        <c:noMultiLvlLbl val="0"/>
      </c:catAx>
      <c:valAx>
        <c:axId val="932859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2878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016516937527457"/>
          <c:y val="0.88679907259461466"/>
          <c:w val="0.46383928014441239"/>
          <c:h val="8.37705216249755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sng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200" b="1" u="sng">
                <a:solidFill>
                  <a:sysClr val="windowText" lastClr="000000"/>
                </a:solidFill>
              </a:rPr>
              <a:t>Variación Acumulada Mat. de Pregrado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sng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dashboard!$AG$6</c:f>
              <c:strCache>
                <c:ptCount val="1"/>
                <c:pt idx="0">
                  <c:v>Pregrado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0.0%;[Red]\-0.0%" sourceLinked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dashboard!$AH$5:$AK$5</c:f>
              <c:strCache>
                <c:ptCount val="4"/>
                <c:pt idx="0">
                  <c:v>2019 / 2018</c:v>
                </c:pt>
                <c:pt idx="1">
                  <c:v>2020 / 2018</c:v>
                </c:pt>
                <c:pt idx="2">
                  <c:v>2021 / 2018</c:v>
                </c:pt>
                <c:pt idx="3">
                  <c:v>2022 / 2018</c:v>
                </c:pt>
              </c:strCache>
            </c:strRef>
          </c:cat>
          <c:val>
            <c:numRef>
              <c:f>dashboard!$AH$6:$AK$6</c:f>
              <c:numCache>
                <c:formatCode>0.0%;[Red]\-0.0%</c:formatCode>
                <c:ptCount val="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78-4B51-8C20-81F8499148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9946064"/>
        <c:axId val="1579947312"/>
      </c:lineChart>
      <c:catAx>
        <c:axId val="157994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79947312"/>
        <c:crosses val="autoZero"/>
        <c:auto val="1"/>
        <c:lblAlgn val="ctr"/>
        <c:lblOffset val="100"/>
        <c:noMultiLvlLbl val="0"/>
      </c:catAx>
      <c:valAx>
        <c:axId val="1579947312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79946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sng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u="sng" strike="noStrike" baseline="0">
                <a:solidFill>
                  <a:sysClr val="windowText" lastClr="000000"/>
                </a:solidFill>
                <a:effectLst/>
              </a:rPr>
              <a:t>Variación Acumulada Mat. d</a:t>
            </a:r>
            <a:r>
              <a:rPr lang="es-CO" sz="1200" b="1" u="sng">
                <a:solidFill>
                  <a:sysClr val="windowText" lastClr="000000"/>
                </a:solidFill>
              </a:rPr>
              <a:t>e Postgrado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sng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dashboard!$AG$7</c:f>
              <c:strCache>
                <c:ptCount val="1"/>
                <c:pt idx="0">
                  <c:v>Postgrado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numFmt formatCode="0.0%;[Red]\-0.0%" sourceLinked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dashboard!$AH$5:$AK$5</c:f>
              <c:strCache>
                <c:ptCount val="4"/>
                <c:pt idx="0">
                  <c:v>2019 / 2018</c:v>
                </c:pt>
                <c:pt idx="1">
                  <c:v>2020 / 2018</c:v>
                </c:pt>
                <c:pt idx="2">
                  <c:v>2021 / 2018</c:v>
                </c:pt>
                <c:pt idx="3">
                  <c:v>2022 / 2018</c:v>
                </c:pt>
              </c:strCache>
            </c:strRef>
          </c:cat>
          <c:val>
            <c:numRef>
              <c:f>dashboard!$AH$7:$AK$7</c:f>
              <c:numCache>
                <c:formatCode>0.0%;[Red]\-0.0%</c:formatCode>
                <c:ptCount val="4"/>
                <c:pt idx="0">
                  <c:v>-5.4852320675105481E-2</c:v>
                </c:pt>
                <c:pt idx="1">
                  <c:v>-0.11814345991561181</c:v>
                </c:pt>
                <c:pt idx="2">
                  <c:v>-0.17721518987341767</c:v>
                </c:pt>
                <c:pt idx="3">
                  <c:v>-0.13080168776371304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C8E-478E-9618-5AE28FAB83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9946064"/>
        <c:axId val="1579947312"/>
      </c:lineChart>
      <c:catAx>
        <c:axId val="157994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79947312"/>
        <c:crosses val="autoZero"/>
        <c:auto val="1"/>
        <c:lblAlgn val="ctr"/>
        <c:lblOffset val="100"/>
        <c:noMultiLvlLbl val="0"/>
      </c:catAx>
      <c:valAx>
        <c:axId val="1579947312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79946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sng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sng" strike="noStrike" baseline="0">
                <a:solidFill>
                  <a:sysClr val="windowText" lastClr="000000"/>
                </a:solidFill>
                <a:effectLst/>
              </a:rPr>
              <a:t>Variación Ingresos - Gastos Acumulados</a:t>
            </a:r>
            <a:endParaRPr lang="es-CO" sz="1200" b="1" u="sng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sng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dashboard!$AG$9</c:f>
              <c:strCache>
                <c:ptCount val="1"/>
                <c:pt idx="0">
                  <c:v>∆ Ingresos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dashboard!$AH$5:$AK$5</c:f>
              <c:strCache>
                <c:ptCount val="4"/>
                <c:pt idx="0">
                  <c:v>2019 / 2018</c:v>
                </c:pt>
                <c:pt idx="1">
                  <c:v>2020 / 2018</c:v>
                </c:pt>
                <c:pt idx="2">
                  <c:v>2021 / 2018</c:v>
                </c:pt>
                <c:pt idx="3">
                  <c:v>2022 / 2018</c:v>
                </c:pt>
              </c:strCache>
            </c:strRef>
          </c:cat>
          <c:val>
            <c:numRef>
              <c:f>dashboard!$AH$9:$AK$9</c:f>
              <c:numCache>
                <c:formatCode>0.0%</c:formatCode>
                <c:ptCount val="4"/>
                <c:pt idx="0">
                  <c:v>1.7514714481491778E-2</c:v>
                </c:pt>
                <c:pt idx="1">
                  <c:v>-0.22655403771956628</c:v>
                </c:pt>
                <c:pt idx="2">
                  <c:v>-3.939845746043491E-2</c:v>
                </c:pt>
                <c:pt idx="3">
                  <c:v>8.9139517463931561E-2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F9-4F04-AE37-E0CE15F187B0}"/>
            </c:ext>
          </c:extLst>
        </c:ser>
        <c:ser>
          <c:idx val="1"/>
          <c:order val="1"/>
          <c:tx>
            <c:strRef>
              <c:f>dashboard!$AG$10</c:f>
              <c:strCache>
                <c:ptCount val="1"/>
                <c:pt idx="0">
                  <c:v>∆ Gastos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dashboard!$AH$5:$AK$5</c:f>
              <c:strCache>
                <c:ptCount val="4"/>
                <c:pt idx="0">
                  <c:v>2019 / 2018</c:v>
                </c:pt>
                <c:pt idx="1">
                  <c:v>2020 / 2018</c:v>
                </c:pt>
                <c:pt idx="2">
                  <c:v>2021 / 2018</c:v>
                </c:pt>
                <c:pt idx="3">
                  <c:v>2022 / 2018</c:v>
                </c:pt>
              </c:strCache>
            </c:strRef>
          </c:cat>
          <c:val>
            <c:numRef>
              <c:f>dashboard!$AH$10:$AK$10</c:f>
              <c:numCache>
                <c:formatCode>0.0%</c:formatCode>
                <c:ptCount val="4"/>
                <c:pt idx="0">
                  <c:v>0.20396079038612402</c:v>
                </c:pt>
                <c:pt idx="1">
                  <c:v>-7.6229242862310365E-2</c:v>
                </c:pt>
                <c:pt idx="2">
                  <c:v>0.11069132329509457</c:v>
                </c:pt>
                <c:pt idx="3">
                  <c:v>0.24420227339210365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F9-4F04-AE37-E0CE15F187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9946064"/>
        <c:axId val="1579947312"/>
      </c:lineChart>
      <c:catAx>
        <c:axId val="157994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79947312"/>
        <c:crosses val="autoZero"/>
        <c:auto val="1"/>
        <c:lblAlgn val="ctr"/>
        <c:lblOffset val="100"/>
        <c:noMultiLvlLbl val="0"/>
      </c:catAx>
      <c:valAx>
        <c:axId val="1579947312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79946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115984251968504"/>
          <c:y val="0.90498845144356954"/>
          <c:w val="0.37782281663714107"/>
          <c:h val="8.83448818897637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sng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sng" strike="noStrike" baseline="0">
                <a:solidFill>
                  <a:sysClr val="windowText" lastClr="000000"/>
                </a:solidFill>
                <a:effectLst/>
              </a:rPr>
              <a:t>Margen Histórico</a:t>
            </a:r>
            <a:endParaRPr lang="es-CO" sz="1200" b="1" u="sng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sng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modelo!$A$13</c:f>
              <c:strCache>
                <c:ptCount val="1"/>
                <c:pt idx="0">
                  <c:v>Margen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dashboard!$AH$16:$AL$16</c:f>
              <c:strCache>
                <c:ptCount val="5"/>
                <c:pt idx="0">
                  <c:v>2018  (Real)</c:v>
                </c:pt>
                <c:pt idx="1">
                  <c:v>2019  (Real)</c:v>
                </c:pt>
                <c:pt idx="2">
                  <c:v>2020  (Real)</c:v>
                </c:pt>
                <c:pt idx="3">
                  <c:v>2021  (Proy)</c:v>
                </c:pt>
                <c:pt idx="4">
                  <c:v>2022  (Ppto)</c:v>
                </c:pt>
              </c:strCache>
            </c:strRef>
          </c:cat>
          <c:val>
            <c:numRef>
              <c:f>dashboard!$AH$17:$AL$17</c:f>
              <c:numCache>
                <c:formatCode>#,##0_);[Red]\(#,##0\)</c:formatCode>
                <c:ptCount val="5"/>
                <c:pt idx="0">
                  <c:v>611.83161809757712</c:v>
                </c:pt>
                <c:pt idx="1">
                  <c:v>250.46387941171952</c:v>
                </c:pt>
                <c:pt idx="2">
                  <c:v>173.22085422000009</c:v>
                </c:pt>
                <c:pt idx="3">
                  <c:v>288.19756500046515</c:v>
                </c:pt>
                <c:pt idx="4">
                  <c:v>356.91677270904074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94-4A16-948C-AFE2885BA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579946064"/>
        <c:axId val="1579947312"/>
      </c:barChart>
      <c:lineChart>
        <c:grouping val="standard"/>
        <c:varyColors val="0"/>
        <c:ser>
          <c:idx val="1"/>
          <c:order val="1"/>
          <c:tx>
            <c:strRef>
              <c:f>modelo!$A$14</c:f>
              <c:strCache>
                <c:ptCount val="1"/>
                <c:pt idx="0">
                  <c:v>%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numFmt formatCode="0.0%;[Red]\-0.0%" sourceLinked="0"/>
            <c:spPr>
              <a:solidFill>
                <a:schemeClr val="bg1"/>
              </a:solidFill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dashboard!$AH$16:$AL$16</c:f>
              <c:strCache>
                <c:ptCount val="5"/>
                <c:pt idx="0">
                  <c:v>2018  (Real)</c:v>
                </c:pt>
                <c:pt idx="1">
                  <c:v>2019  (Real)</c:v>
                </c:pt>
                <c:pt idx="2">
                  <c:v>2020  (Real)</c:v>
                </c:pt>
                <c:pt idx="3">
                  <c:v>2021  (Proy)</c:v>
                </c:pt>
                <c:pt idx="4">
                  <c:v>2022  (Ppto)</c:v>
                </c:pt>
              </c:strCache>
            </c:strRef>
          </c:cat>
          <c:val>
            <c:numRef>
              <c:f>dashboard!$AH$18:$AL$18</c:f>
              <c:numCache>
                <c:formatCode>0.0%</c:formatCode>
                <c:ptCount val="5"/>
                <c:pt idx="0">
                  <c:v>0.23464335731746833</c:v>
                </c:pt>
                <c:pt idx="1">
                  <c:v>9.4401903641372548E-2</c:v>
                </c:pt>
                <c:pt idx="2">
                  <c:v>8.5890780001440625E-2</c:v>
                </c:pt>
                <c:pt idx="3">
                  <c:v>0.11505973641642447</c:v>
                </c:pt>
                <c:pt idx="4">
                  <c:v>0.1256781527873547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94-4A16-948C-AFE2885BA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9284831"/>
        <c:axId val="1229280255"/>
      </c:lineChart>
      <c:catAx>
        <c:axId val="157994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79947312"/>
        <c:crosses val="autoZero"/>
        <c:auto val="1"/>
        <c:lblAlgn val="ctr"/>
        <c:lblOffset val="100"/>
        <c:noMultiLvlLbl val="0"/>
      </c:catAx>
      <c:valAx>
        <c:axId val="15799473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79946064"/>
        <c:crosses val="autoZero"/>
        <c:crossBetween val="between"/>
      </c:valAx>
      <c:valAx>
        <c:axId val="1229280255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29284831"/>
        <c:crosses val="max"/>
        <c:crossBetween val="between"/>
      </c:valAx>
      <c:catAx>
        <c:axId val="122928483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92802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197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1197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22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1197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pin" dx="22" fmlaLink="V11" max="30000" page="10" val="857"/>
</file>

<file path=xl/ctrlProps/ctrlProp10.xml><?xml version="1.0" encoding="utf-8"?>
<formControlPr xmlns="http://schemas.microsoft.com/office/spreadsheetml/2009/9/main" objectType="Spin" dx="22" fmlaLink="V21" max="30000" page="10" val="100"/>
</file>

<file path=xl/ctrlProps/ctrlProp11.xml><?xml version="1.0" encoding="utf-8"?>
<formControlPr xmlns="http://schemas.microsoft.com/office/spreadsheetml/2009/9/main" objectType="Spin" dx="22" fmlaLink="V23" max="30000" page="10" val="100"/>
</file>

<file path=xl/ctrlProps/ctrlProp12.xml><?xml version="1.0" encoding="utf-8"?>
<formControlPr xmlns="http://schemas.microsoft.com/office/spreadsheetml/2009/9/main" objectType="Spin" dx="22" fmlaLink="V35" max="30000" page="10" val="0"/>
</file>

<file path=xl/ctrlProps/ctrlProp13.xml><?xml version="1.0" encoding="utf-8"?>
<formControlPr xmlns="http://schemas.microsoft.com/office/spreadsheetml/2009/9/main" objectType="Spin" dx="22" fmlaLink="AB6" max="30000" page="10" val="105"/>
</file>

<file path=xl/ctrlProps/ctrlProp14.xml><?xml version="1.0" encoding="utf-8"?>
<formControlPr xmlns="http://schemas.microsoft.com/office/spreadsheetml/2009/9/main" objectType="Spin" dx="22" fmlaLink="AB8" max="30000" page="10" val="205"/>
</file>

<file path=xl/ctrlProps/ctrlProp15.xml><?xml version="1.0" encoding="utf-8"?>
<formControlPr xmlns="http://schemas.microsoft.com/office/spreadsheetml/2009/9/main" objectType="Spin" dx="22" fmlaLink="V6" max="30000" page="10" val="100"/>
</file>

<file path=xl/ctrlProps/ctrlProp16.xml><?xml version="1.0" encoding="utf-8"?>
<formControlPr xmlns="http://schemas.microsoft.com/office/spreadsheetml/2009/9/main" objectType="Spin" dx="22" fmlaLink="V8" max="30000" page="10" val="100"/>
</file>

<file path=xl/ctrlProps/ctrlProp17.xml><?xml version="1.0" encoding="utf-8"?>
<formControlPr xmlns="http://schemas.microsoft.com/office/spreadsheetml/2009/9/main" objectType="Spin" dx="22" fmlaLink="V40" max="30000" page="10" val="145"/>
</file>

<file path=xl/ctrlProps/ctrlProp18.xml><?xml version="1.0" encoding="utf-8"?>
<formControlPr xmlns="http://schemas.microsoft.com/office/spreadsheetml/2009/9/main" objectType="Spin" dx="22" fmlaLink="V50" max="30000" page="10" val="100"/>
</file>

<file path=xl/ctrlProps/ctrlProp19.xml><?xml version="1.0" encoding="utf-8"?>
<formControlPr xmlns="http://schemas.microsoft.com/office/spreadsheetml/2009/9/main" objectType="Spin" dx="22" fmlaLink="V52" max="30000" page="10" val="100"/>
</file>

<file path=xl/ctrlProps/ctrlProp2.xml><?xml version="1.0" encoding="utf-8"?>
<formControlPr xmlns="http://schemas.microsoft.com/office/spreadsheetml/2009/9/main" objectType="Spin" dx="22" fmlaLink="V13" max="30000" page="10" val="145"/>
</file>

<file path=xl/ctrlProps/ctrlProp20.xml><?xml version="1.0" encoding="utf-8"?>
<formControlPr xmlns="http://schemas.microsoft.com/office/spreadsheetml/2009/9/main" objectType="Spin" dx="22" fmlaLink="V54" max="30000" page="10" val="100"/>
</file>

<file path=xl/ctrlProps/ctrlProp21.xml><?xml version="1.0" encoding="utf-8"?>
<formControlPr xmlns="http://schemas.microsoft.com/office/spreadsheetml/2009/9/main" objectType="Spin" dx="22" fmlaLink="V56" max="30000" page="10" val="100"/>
</file>

<file path=xl/ctrlProps/ctrlProp22.xml><?xml version="1.0" encoding="utf-8"?>
<formControlPr xmlns="http://schemas.microsoft.com/office/spreadsheetml/2009/9/main" objectType="Spin" dx="22" fmlaLink="V64" max="30000" page="10" val="100"/>
</file>

<file path=xl/ctrlProps/ctrlProp23.xml><?xml version="1.0" encoding="utf-8"?>
<formControlPr xmlns="http://schemas.microsoft.com/office/spreadsheetml/2009/9/main" objectType="Spin" dx="22" fmlaLink="V66" max="30000" page="10" val="100"/>
</file>

<file path=xl/ctrlProps/ctrlProp24.xml><?xml version="1.0" encoding="utf-8"?>
<formControlPr xmlns="http://schemas.microsoft.com/office/spreadsheetml/2009/9/main" objectType="Spin" dx="22" fmlaLink="V58" max="30000" page="10" val="100"/>
</file>

<file path=xl/ctrlProps/ctrlProp3.xml><?xml version="1.0" encoding="utf-8"?>
<formControlPr xmlns="http://schemas.microsoft.com/office/spreadsheetml/2009/9/main" objectType="Spin" dx="22" fmlaLink="V16" max="30000" page="10" val="145"/>
</file>

<file path=xl/ctrlProps/ctrlProp4.xml><?xml version="1.0" encoding="utf-8"?>
<formControlPr xmlns="http://schemas.microsoft.com/office/spreadsheetml/2009/9/main" objectType="Spin" dx="22" fmlaLink="V18" max="30000" page="10" val="109"/>
</file>

<file path=xl/ctrlProps/ctrlProp5.xml><?xml version="1.0" encoding="utf-8"?>
<formControlPr xmlns="http://schemas.microsoft.com/office/spreadsheetml/2009/9/main" objectType="Spin" dx="22" fmlaLink="V26" max="30000" page="10" val="100"/>
</file>

<file path=xl/ctrlProps/ctrlProp6.xml><?xml version="1.0" encoding="utf-8"?>
<formControlPr xmlns="http://schemas.microsoft.com/office/spreadsheetml/2009/9/main" objectType="Spin" dx="22" fmlaLink="V27" max="30000" page="10" val="113"/>
</file>

<file path=xl/ctrlProps/ctrlProp7.xml><?xml version="1.0" encoding="utf-8"?>
<formControlPr xmlns="http://schemas.microsoft.com/office/spreadsheetml/2009/9/main" objectType="Spin" dx="22" fmlaLink="V29" max="30000" page="10" val="100"/>
</file>

<file path=xl/ctrlProps/ctrlProp8.xml><?xml version="1.0" encoding="utf-8"?>
<formControlPr xmlns="http://schemas.microsoft.com/office/spreadsheetml/2009/9/main" objectType="Spin" dx="22" fmlaLink="V30" max="30000" page="10" val="104"/>
</file>

<file path=xl/ctrlProps/ctrlProp9.xml><?xml version="1.0" encoding="utf-8"?>
<formControlPr xmlns="http://schemas.microsoft.com/office/spreadsheetml/2009/9/main" objectType="Spin" dx="22" fmlaLink="V32" max="30000" page="10" val="202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1312333</xdr:colOff>
      <xdr:row>3</xdr:row>
      <xdr:rowOff>52917</xdr:rowOff>
    </xdr:from>
    <xdr:to>
      <xdr:col>9</xdr:col>
      <xdr:colOff>2356723</xdr:colOff>
      <xdr:row>12</xdr:row>
      <xdr:rowOff>227873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6</xdr:col>
      <xdr:colOff>625078</xdr:colOff>
      <xdr:row>14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0</xdr:colOff>
      <xdr:row>14</xdr:row>
      <xdr:rowOff>0</xdr:rowOff>
    </xdr:from>
    <xdr:to>
      <xdr:col>6</xdr:col>
      <xdr:colOff>625078</xdr:colOff>
      <xdr:row>24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7</xdr:col>
      <xdr:colOff>101203</xdr:colOff>
      <xdr:row>4</xdr:row>
      <xdr:rowOff>0</xdr:rowOff>
    </xdr:from>
    <xdr:to>
      <xdr:col>12</xdr:col>
      <xdr:colOff>750094</xdr:colOff>
      <xdr:row>14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676276</xdr:colOff>
      <xdr:row>12</xdr:row>
      <xdr:rowOff>28576</xdr:rowOff>
    </xdr:from>
    <xdr:to>
      <xdr:col>12</xdr:col>
      <xdr:colOff>714376</xdr:colOff>
      <xdr:row>13</xdr:row>
      <xdr:rowOff>85726</xdr:rowOff>
    </xdr:to>
    <xdr:sp macro="" textlink="AI12">
      <xdr:nvSpPr>
        <xdr:cNvPr id="3" name="CuadroText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7067551" y="2324101"/>
          <a:ext cx="800100" cy="24765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8BC762C1-7479-4758-A7FF-2646A8AEBC51}" type="TxLink">
            <a:rPr lang="en-US" sz="11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∆ = -15,5%</a:t>
          </a:fld>
          <a:endParaRPr lang="es-CO" sz="1100" b="1"/>
        </a:p>
      </xdr:txBody>
    </xdr:sp>
    <xdr:clientData/>
  </xdr:twoCellAnchor>
  <xdr:twoCellAnchor editAs="absolute">
    <xdr:from>
      <xdr:col>7</xdr:col>
      <xdr:colOff>101203</xdr:colOff>
      <xdr:row>14</xdr:row>
      <xdr:rowOff>0</xdr:rowOff>
    </xdr:from>
    <xdr:to>
      <xdr:col>12</xdr:col>
      <xdr:colOff>750094</xdr:colOff>
      <xdr:row>24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0.8825</cdr:x>
      <cdr:y>0.15</cdr:y>
    </cdr:from>
    <cdr:to>
      <cdr:x>0.9775</cdr:x>
      <cdr:y>0.285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20ACF0F0-733B-4A84-947C-C932ADCC51E3}"/>
            </a:ext>
          </a:extLst>
        </cdr:cNvPr>
        <cdr:cNvSpPr txBox="1"/>
      </cdr:nvSpPr>
      <cdr:spPr>
        <a:xfrm xmlns:a="http://schemas.openxmlformats.org/drawingml/2006/main">
          <a:off x="3362325" y="285750"/>
          <a:ext cx="3619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  <cdr:relSizeAnchor xmlns:cdr="http://schemas.openxmlformats.org/drawingml/2006/chartDrawing">
    <cdr:from>
      <cdr:x>0.83846</cdr:x>
      <cdr:y>0.03077</cdr:y>
    </cdr:from>
    <cdr:to>
      <cdr:x>0.99615</cdr:x>
      <cdr:y>0.15385</cdr:y>
    </cdr:to>
    <cdr:sp macro="" textlink="dashboard!$AG$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3589D39B-CE2C-4243-BCDF-992E5930B6BC}"/>
            </a:ext>
          </a:extLst>
        </cdr:cNvPr>
        <cdr:cNvSpPr txBox="1"/>
      </cdr:nvSpPr>
      <cdr:spPr>
        <a:xfrm xmlns:a="http://schemas.openxmlformats.org/drawingml/2006/main">
          <a:off x="3194540" y="58615"/>
          <a:ext cx="600808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137731-11AD-486F-BD65-1A1E3BFDEBA1}" type="TxLink">
            <a:rPr lang="en-US" sz="1100" b="1" i="0" u="none" strike="noStrike">
              <a:solidFill>
                <a:sysClr val="windowText" lastClr="000000"/>
              </a:solidFill>
              <a:latin typeface="Calibri"/>
              <a:cs typeface="Calibri"/>
            </a:rPr>
            <a:pPr/>
            <a:t>($ K)</a:t>
          </a:fld>
          <a:endParaRPr lang="es-CO" sz="1100" b="1">
            <a:solidFill>
              <a:sysClr val="windowText" lastClr="000000"/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0.65564</cdr:x>
      <cdr:y>0.01897</cdr:y>
    </cdr:from>
    <cdr:to>
      <cdr:x>0.81333</cdr:x>
      <cdr:y>0.14205</cdr:y>
    </cdr:to>
    <cdr:sp macro="" textlink="dashboard!$AG$14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D0B93830-2B85-48AA-99BC-7B6FCC418E60}"/>
            </a:ext>
          </a:extLst>
        </cdr:cNvPr>
        <cdr:cNvSpPr txBox="1"/>
      </cdr:nvSpPr>
      <cdr:spPr>
        <a:xfrm xmlns:a="http://schemas.openxmlformats.org/drawingml/2006/main">
          <a:off x="2497992" y="36146"/>
          <a:ext cx="600808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047C875-29B0-4445-8FA9-286AEF6E13B3}" type="TxLink">
            <a:rPr lang="en-US" sz="11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($ K)</a:t>
          </a:fld>
          <a:endParaRPr lang="es-CO" sz="1100" b="1">
            <a:solidFill>
              <a:sysClr val="windowText" lastClr="000000"/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0</xdr:colOff>
      <xdr:row>0</xdr:row>
      <xdr:rowOff>31888</xdr:rowOff>
    </xdr:from>
    <xdr:to>
      <xdr:col>38</xdr:col>
      <xdr:colOff>304800</xdr:colOff>
      <xdr:row>16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epartamento_jerarquia1 1">
              <a:extLst>
                <a:ext uri="{FF2B5EF4-FFF2-40B4-BE49-F238E27FC236}">
                  <a16:creationId xmlns:a16="http://schemas.microsoft.com/office/drawing/2014/main" id="{00000000-0008-0000-05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artamento_jerarquia1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02261" y="31888"/>
              <a:ext cx="1828800" cy="25191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38</xdr:col>
      <xdr:colOff>438978</xdr:colOff>
      <xdr:row>0</xdr:row>
      <xdr:rowOff>31888</xdr:rowOff>
    </xdr:from>
    <xdr:to>
      <xdr:col>40</xdr:col>
      <xdr:colOff>743778</xdr:colOff>
      <xdr:row>16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bre_departamento_padre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_departamento_padr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365239" y="31888"/>
              <a:ext cx="1828800" cy="25191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41</xdr:col>
      <xdr:colOff>72632</xdr:colOff>
      <xdr:row>0</xdr:row>
      <xdr:rowOff>35551</xdr:rowOff>
    </xdr:from>
    <xdr:to>
      <xdr:col>43</xdr:col>
      <xdr:colOff>372853</xdr:colOff>
      <xdr:row>16</xdr:row>
      <xdr:rowOff>3663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bre_departamento_padre 3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_departamento_padr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284893" y="35551"/>
              <a:ext cx="1824221" cy="25191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5</xdr:row>
          <xdr:rowOff>0</xdr:rowOff>
        </xdr:from>
        <xdr:to>
          <xdr:col>22</xdr:col>
          <xdr:colOff>0</xdr:colOff>
          <xdr:row>7</xdr:row>
          <xdr:rowOff>0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5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7</xdr:row>
          <xdr:rowOff>0</xdr:rowOff>
        </xdr:from>
        <xdr:to>
          <xdr:col>22</xdr:col>
          <xdr:colOff>0</xdr:colOff>
          <xdr:row>8</xdr:row>
          <xdr:rowOff>190500</xdr:rowOff>
        </xdr:to>
        <xdr:sp macro="" textlink="">
          <xdr:nvSpPr>
            <xdr:cNvPr id="2050" name="Spinner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5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10</xdr:row>
          <xdr:rowOff>0</xdr:rowOff>
        </xdr:from>
        <xdr:to>
          <xdr:col>22</xdr:col>
          <xdr:colOff>0</xdr:colOff>
          <xdr:row>12</xdr:row>
          <xdr:rowOff>0</xdr:rowOff>
        </xdr:to>
        <xdr:sp macro="" textlink="">
          <xdr:nvSpPr>
            <xdr:cNvPr id="2071" name="Spinner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5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12</xdr:row>
          <xdr:rowOff>0</xdr:rowOff>
        </xdr:from>
        <xdr:to>
          <xdr:col>22</xdr:col>
          <xdr:colOff>0</xdr:colOff>
          <xdr:row>13</xdr:row>
          <xdr:rowOff>190500</xdr:rowOff>
        </xdr:to>
        <xdr:sp macro="" textlink="">
          <xdr:nvSpPr>
            <xdr:cNvPr id="2072" name="Spinner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5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15</xdr:row>
          <xdr:rowOff>0</xdr:rowOff>
        </xdr:from>
        <xdr:to>
          <xdr:col>22</xdr:col>
          <xdr:colOff>0</xdr:colOff>
          <xdr:row>17</xdr:row>
          <xdr:rowOff>0</xdr:rowOff>
        </xdr:to>
        <xdr:sp macro="" textlink="">
          <xdr:nvSpPr>
            <xdr:cNvPr id="2073" name="Spinner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5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17</xdr:row>
          <xdr:rowOff>0</xdr:rowOff>
        </xdr:from>
        <xdr:to>
          <xdr:col>22</xdr:col>
          <xdr:colOff>0</xdr:colOff>
          <xdr:row>18</xdr:row>
          <xdr:rowOff>190500</xdr:rowOff>
        </xdr:to>
        <xdr:sp macro="" textlink="">
          <xdr:nvSpPr>
            <xdr:cNvPr id="2074" name="Spinner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5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20</xdr:row>
          <xdr:rowOff>0</xdr:rowOff>
        </xdr:from>
        <xdr:to>
          <xdr:col>22</xdr:col>
          <xdr:colOff>0</xdr:colOff>
          <xdr:row>22</xdr:row>
          <xdr:rowOff>0</xdr:rowOff>
        </xdr:to>
        <xdr:sp macro="" textlink="">
          <xdr:nvSpPr>
            <xdr:cNvPr id="2090" name="Spinner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5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22</xdr:row>
          <xdr:rowOff>0</xdr:rowOff>
        </xdr:from>
        <xdr:to>
          <xdr:col>22</xdr:col>
          <xdr:colOff>0</xdr:colOff>
          <xdr:row>23</xdr:row>
          <xdr:rowOff>0</xdr:rowOff>
        </xdr:to>
        <xdr:sp macro="" textlink="">
          <xdr:nvSpPr>
            <xdr:cNvPr id="2097" name="Spinner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5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5</xdr:row>
          <xdr:rowOff>0</xdr:rowOff>
        </xdr:from>
        <xdr:to>
          <xdr:col>28</xdr:col>
          <xdr:colOff>0</xdr:colOff>
          <xdr:row>6</xdr:row>
          <xdr:rowOff>190500</xdr:rowOff>
        </xdr:to>
        <xdr:sp macro="" textlink="">
          <xdr:nvSpPr>
            <xdr:cNvPr id="2102" name="Spinner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5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25</xdr:row>
          <xdr:rowOff>0</xdr:rowOff>
        </xdr:from>
        <xdr:to>
          <xdr:col>22</xdr:col>
          <xdr:colOff>0</xdr:colOff>
          <xdr:row>26</xdr:row>
          <xdr:rowOff>0</xdr:rowOff>
        </xdr:to>
        <xdr:sp macro="" textlink="">
          <xdr:nvSpPr>
            <xdr:cNvPr id="2116" name="Spinner 68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5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26</xdr:row>
          <xdr:rowOff>0</xdr:rowOff>
        </xdr:from>
        <xdr:to>
          <xdr:col>22</xdr:col>
          <xdr:colOff>0</xdr:colOff>
          <xdr:row>28</xdr:row>
          <xdr:rowOff>0</xdr:rowOff>
        </xdr:to>
        <xdr:sp macro="" textlink="">
          <xdr:nvSpPr>
            <xdr:cNvPr id="2117" name="Spinner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5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28</xdr:row>
          <xdr:rowOff>0</xdr:rowOff>
        </xdr:from>
        <xdr:to>
          <xdr:col>22</xdr:col>
          <xdr:colOff>0</xdr:colOff>
          <xdr:row>29</xdr:row>
          <xdr:rowOff>0</xdr:rowOff>
        </xdr:to>
        <xdr:sp macro="" textlink="">
          <xdr:nvSpPr>
            <xdr:cNvPr id="2118" name="Spinner 70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500-00004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29</xdr:row>
          <xdr:rowOff>0</xdr:rowOff>
        </xdr:from>
        <xdr:to>
          <xdr:col>22</xdr:col>
          <xdr:colOff>0</xdr:colOff>
          <xdr:row>30</xdr:row>
          <xdr:rowOff>190500</xdr:rowOff>
        </xdr:to>
        <xdr:sp macro="" textlink="">
          <xdr:nvSpPr>
            <xdr:cNvPr id="2119" name="Spinner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5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31</xdr:row>
          <xdr:rowOff>0</xdr:rowOff>
        </xdr:from>
        <xdr:to>
          <xdr:col>22</xdr:col>
          <xdr:colOff>0</xdr:colOff>
          <xdr:row>32</xdr:row>
          <xdr:rowOff>190500</xdr:rowOff>
        </xdr:to>
        <xdr:sp macro="" textlink="">
          <xdr:nvSpPr>
            <xdr:cNvPr id="2120" name="Spinner 72" hidden="1">
              <a:extLst>
                <a:ext uri="{63B3BB69-23CF-44E3-9099-C40C66FF867C}">
                  <a14:compatExt spid="_x0000_s2120"/>
                </a:ext>
                <a:ext uri="{FF2B5EF4-FFF2-40B4-BE49-F238E27FC236}">
                  <a16:creationId xmlns:a16="http://schemas.microsoft.com/office/drawing/2014/main" id="{00000000-0008-0000-0500-00004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35</xdr:row>
          <xdr:rowOff>0</xdr:rowOff>
        </xdr:from>
        <xdr:to>
          <xdr:col>22</xdr:col>
          <xdr:colOff>0</xdr:colOff>
          <xdr:row>36</xdr:row>
          <xdr:rowOff>0</xdr:rowOff>
        </xdr:to>
        <xdr:sp macro="" textlink="">
          <xdr:nvSpPr>
            <xdr:cNvPr id="2122" name="Spinner 74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5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7</xdr:row>
          <xdr:rowOff>0</xdr:rowOff>
        </xdr:from>
        <xdr:to>
          <xdr:col>28</xdr:col>
          <xdr:colOff>0</xdr:colOff>
          <xdr:row>8</xdr:row>
          <xdr:rowOff>190500</xdr:rowOff>
        </xdr:to>
        <xdr:sp macro="" textlink="">
          <xdr:nvSpPr>
            <xdr:cNvPr id="2123" name="Spinner 75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5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39</xdr:row>
          <xdr:rowOff>0</xdr:rowOff>
        </xdr:from>
        <xdr:to>
          <xdr:col>22</xdr:col>
          <xdr:colOff>0</xdr:colOff>
          <xdr:row>40</xdr:row>
          <xdr:rowOff>190500</xdr:rowOff>
        </xdr:to>
        <xdr:sp macro="" textlink="">
          <xdr:nvSpPr>
            <xdr:cNvPr id="2125" name="Spinner 77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5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49</xdr:row>
          <xdr:rowOff>0</xdr:rowOff>
        </xdr:from>
        <xdr:to>
          <xdr:col>22</xdr:col>
          <xdr:colOff>0</xdr:colOff>
          <xdr:row>50</xdr:row>
          <xdr:rowOff>190500</xdr:rowOff>
        </xdr:to>
        <xdr:sp macro="" textlink="">
          <xdr:nvSpPr>
            <xdr:cNvPr id="2126" name="Spinner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5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51</xdr:row>
          <xdr:rowOff>0</xdr:rowOff>
        </xdr:from>
        <xdr:to>
          <xdr:col>22</xdr:col>
          <xdr:colOff>0</xdr:colOff>
          <xdr:row>52</xdr:row>
          <xdr:rowOff>190500</xdr:rowOff>
        </xdr:to>
        <xdr:sp macro="" textlink="">
          <xdr:nvSpPr>
            <xdr:cNvPr id="2127" name="Spinner 79" hidden="1">
              <a:extLst>
                <a:ext uri="{63B3BB69-23CF-44E3-9099-C40C66FF867C}">
                  <a14:compatExt spid="_x0000_s2127"/>
                </a:ext>
                <a:ext uri="{FF2B5EF4-FFF2-40B4-BE49-F238E27FC236}">
                  <a16:creationId xmlns:a16="http://schemas.microsoft.com/office/drawing/2014/main" id="{00000000-0008-0000-0500-00004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53</xdr:row>
          <xdr:rowOff>0</xdr:rowOff>
        </xdr:from>
        <xdr:to>
          <xdr:col>22</xdr:col>
          <xdr:colOff>0</xdr:colOff>
          <xdr:row>54</xdr:row>
          <xdr:rowOff>190500</xdr:rowOff>
        </xdr:to>
        <xdr:sp macro="" textlink="">
          <xdr:nvSpPr>
            <xdr:cNvPr id="2128" name="Spinner 80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5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55</xdr:row>
          <xdr:rowOff>0</xdr:rowOff>
        </xdr:from>
        <xdr:to>
          <xdr:col>22</xdr:col>
          <xdr:colOff>0</xdr:colOff>
          <xdr:row>56</xdr:row>
          <xdr:rowOff>190500</xdr:rowOff>
        </xdr:to>
        <xdr:sp macro="" textlink="">
          <xdr:nvSpPr>
            <xdr:cNvPr id="2130" name="Spinner 82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5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57</xdr:row>
          <xdr:rowOff>0</xdr:rowOff>
        </xdr:from>
        <xdr:to>
          <xdr:col>22</xdr:col>
          <xdr:colOff>0</xdr:colOff>
          <xdr:row>58</xdr:row>
          <xdr:rowOff>190500</xdr:rowOff>
        </xdr:to>
        <xdr:sp macro="" textlink="">
          <xdr:nvSpPr>
            <xdr:cNvPr id="2131" name="Spinner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5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63</xdr:row>
          <xdr:rowOff>0</xdr:rowOff>
        </xdr:from>
        <xdr:to>
          <xdr:col>22</xdr:col>
          <xdr:colOff>0</xdr:colOff>
          <xdr:row>64</xdr:row>
          <xdr:rowOff>190500</xdr:rowOff>
        </xdr:to>
        <xdr:sp macro="" textlink="">
          <xdr:nvSpPr>
            <xdr:cNvPr id="2132" name="Spinner 84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5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65</xdr:row>
          <xdr:rowOff>0</xdr:rowOff>
        </xdr:from>
        <xdr:to>
          <xdr:col>22</xdr:col>
          <xdr:colOff>0</xdr:colOff>
          <xdr:row>66</xdr:row>
          <xdr:rowOff>190500</xdr:rowOff>
        </xdr:to>
        <xdr:sp macro="" textlink="">
          <xdr:nvSpPr>
            <xdr:cNvPr id="2134" name="Spinner 86" hidden="1">
              <a:extLst>
                <a:ext uri="{63B3BB69-23CF-44E3-9099-C40C66FF867C}">
                  <a14:compatExt spid="_x0000_s2134"/>
                </a:ext>
                <a:ext uri="{FF2B5EF4-FFF2-40B4-BE49-F238E27FC236}">
                  <a16:creationId xmlns:a16="http://schemas.microsoft.com/office/drawing/2014/main" id="{00000000-0008-0000-0500-00005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0</xdr:row>
      <xdr:rowOff>0</xdr:rowOff>
    </xdr:from>
    <xdr:to>
      <xdr:col>32</xdr:col>
      <xdr:colOff>304800</xdr:colOff>
      <xdr:row>14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nombre_departamento_padre">
              <a:extLst>
                <a:ext uri="{FF2B5EF4-FFF2-40B4-BE49-F238E27FC236}">
                  <a16:creationId xmlns:a16="http://schemas.microsoft.com/office/drawing/2014/main" id="{00000000-0008-0000-0F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_departamento_padr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040850" y="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3</xdr:row>
      <xdr:rowOff>0</xdr:rowOff>
    </xdr:from>
    <xdr:to>
      <xdr:col>32</xdr:col>
      <xdr:colOff>304800</xdr:colOff>
      <xdr:row>17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nombre_departamento_padre 1">
              <a:extLst>
                <a:ext uri="{FF2B5EF4-FFF2-40B4-BE49-F238E27FC236}">
                  <a16:creationId xmlns:a16="http://schemas.microsoft.com/office/drawing/2014/main" id="{00000000-0008-0000-1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_departamento_padr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040850" y="5715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59951</xdr:colOff>
      <xdr:row>19</xdr:row>
      <xdr:rowOff>123825</xdr:rowOff>
    </xdr:from>
    <xdr:to>
      <xdr:col>11</xdr:col>
      <xdr:colOff>140634</xdr:colOff>
      <xdr:row>32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epartamento_jerarquia1">
              <a:extLst>
                <a:ext uri="{FF2B5EF4-FFF2-40B4-BE49-F238E27FC236}">
                  <a16:creationId xmlns:a16="http://schemas.microsoft.com/office/drawing/2014/main" id="{00000000-0008-0000-1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artamento_jerarquia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8922" y="37433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hristianresa_unisabana_edu_co/Documents/Desktop/PPTO%20Comparativo%20IF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ING y GASTOS IFA"/>
      <sheetName val="Hoja1"/>
      <sheetName val="Hoja2"/>
      <sheetName val="PPTO INNOVACIÓN IFA"/>
      <sheetName val="33 Actividad Misional"/>
      <sheetName val="Total Negocios IFA"/>
      <sheetName val="49 Especialización"/>
      <sheetName val="496 Maestría"/>
      <sheetName val="922 Otros Negocios Familia"/>
      <sheetName val="534 Proyectos Especiales"/>
      <sheetName val="27 Dptos Académicos"/>
      <sheetName val="582 Admon IFA"/>
    </sheetNames>
    <sheetDataSet>
      <sheetData sheetId="0">
        <row r="161">
          <cell r="B161" t="str">
            <v>EJE 2019</v>
          </cell>
          <cell r="C161" t="str">
            <v>EJE 2020</v>
          </cell>
          <cell r="D161" t="str">
            <v>EJE 2021 (p)</v>
          </cell>
          <cell r="E161" t="str">
            <v>PPTO 2022</v>
          </cell>
        </row>
        <row r="162">
          <cell r="A162" t="str">
            <v>Ingresos</v>
          </cell>
          <cell r="B162">
            <v>2733.0970000000002</v>
          </cell>
          <cell r="C162">
            <v>2202.2750000000001</v>
          </cell>
          <cell r="D162">
            <v>2505</v>
          </cell>
          <cell r="E162">
            <v>2840</v>
          </cell>
        </row>
        <row r="163">
          <cell r="A163" t="str">
            <v>Gastos</v>
          </cell>
          <cell r="B163">
            <v>4725.9639999999999</v>
          </cell>
          <cell r="C163">
            <v>4009.576</v>
          </cell>
          <cell r="D163">
            <v>3661.6109999999999</v>
          </cell>
          <cell r="E163">
            <v>3954.2959999999998</v>
          </cell>
        </row>
        <row r="164">
          <cell r="A164" t="str">
            <v>Margen</v>
          </cell>
          <cell r="B164">
            <v>-1992.867</v>
          </cell>
          <cell r="C164">
            <v>-1807.3009999999999</v>
          </cell>
          <cell r="D164">
            <v>-1156.6109999999999</v>
          </cell>
          <cell r="E164">
            <v>-1114.2959999999998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los Alberto Ceballos Gutierrez" refreshedDate="44383.587246527779" createdVersion="5" refreshedVersion="7" minRefreshableVersion="3" recordCount="0" supportSubquery="1" supportAdvancedDrill="1" xr:uid="{9E34595D-6BD5-4BAE-B0A8-32E80D77EF44}">
  <cacheSource type="external" connectionId="8"/>
  <cacheFields count="6">
    <cacheField name="[poblacion_pregrado].[nombre_departamento_hijo].[nombre_departamento_hijo]" caption="nombre_departamento_hijo" numFmtId="0" hierarchy="78" level="1">
      <sharedItems count="3">
        <s v="PROG COMUNICACION CORPORATIVA"/>
        <s v="PROG DE COM AUDVISUAL Y MULTIM"/>
        <s v="PROG DE COMUNICACION SOCIAL"/>
      </sharedItems>
    </cacheField>
    <cacheField name="[poblacion_pregrado].[ano].[ano]" caption="ano" numFmtId="0" hierarchy="72" level="1">
      <sharedItems containsSemiMixedTypes="0" containsString="0" containsNumber="1" containsInteger="1" minValue="2018" maxValue="2021" count="4"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oblacion_pregrado].[ano].&amp;[2018]"/>
            <x15:cachedUniqueName index="1" name="[poblacion_pregrado].[ano].&amp;[2019]"/>
            <x15:cachedUniqueName index="2" name="[poblacion_pregrado].[ano].&amp;[2020]"/>
            <x15:cachedUniqueName index="3" name="[poblacion_pregrado].[ano].&amp;[2021]"/>
          </x15:cachedUniqueNames>
        </ext>
      </extLst>
    </cacheField>
    <cacheField name="[poblacion_pregrado].[semestre].[semestre]" caption="semestre" numFmtId="0" hierarchy="74" level="1">
      <sharedItems containsSemiMixedTypes="0" containsString="0" containsNumber="1" containsInteger="1" minValue="1" maxValue="2" count="2">
        <n v="1"/>
        <n v="2"/>
      </sharedItems>
      <extLst>
        <ext xmlns:x15="http://schemas.microsoft.com/office/spreadsheetml/2010/11/main" uri="{4F2E5C28-24EA-4eb8-9CBF-B6C8F9C3D259}">
          <x15:cachedUniqueNames>
            <x15:cachedUniqueName index="0" name="[poblacion_pregrado].[semestre].&amp;[1]"/>
            <x15:cachedUniqueName index="1" name="[poblacion_pregrado].[semestre].&amp;[2]"/>
          </x15:cachedUniqueNames>
        </ext>
      </extLst>
    </cacheField>
    <cacheField name="[Measures].[Suma de real]" caption="Suma de real" numFmtId="0" hierarchy="93" level="32767"/>
    <cacheField name="[IF].[departamento_jerarquia1].[departamento_jerarquia1]" caption="departamento_jerarquia1" numFmtId="0" hierarchy="37" level="1">
      <sharedItems containsSemiMixedTypes="0" containsNonDate="0" containsString="0"/>
    </cacheField>
    <cacheField name="[poblacion_pregrado].[nombre_departamento_padre].[nombre_departamento_padre]" caption="nombre_departamento_padre" numFmtId="0" hierarchy="76" level="1">
      <sharedItems containsSemiMixedTypes="0" containsNonDate="0" containsString="0"/>
    </cacheField>
  </cacheFields>
  <cacheHierarchies count="99">
    <cacheHierarchy uniqueName="[A2020].[ano]" caption="ano" attribute="1" defaultMemberUniqueName="[A2020].[ano].[All]" allUniqueName="[A2020].[ano].[All]" dimensionUniqueName="[A2020]" displayFolder="" count="0" memberValueDatatype="20" unbalanced="0"/>
    <cacheHierarchy uniqueName="[A2020].[mes]" caption="mes" attribute="1" defaultMemberUniqueName="[A2020].[mes].[All]" allUniqueName="[A2020].[mes].[All]" dimensionUniqueName="[A2020]" displayFolder="" count="0" memberValueDatatype="20" unbalanced="0"/>
    <cacheHierarchy uniqueName="[A2020].[cuenta_ppto]" caption="cuenta_ppto" attribute="1" defaultMemberUniqueName="[A2020].[cuenta_ppto].[All]" allUniqueName="[A2020].[cuenta_ppto].[All]" dimensionUniqueName="[A2020]" displayFolder="" count="0" memberValueDatatype="130" unbalanced="0"/>
    <cacheHierarchy uniqueName="[A2020].[nombre_cuenta]" caption="nombre_cuenta" attribute="1" defaultMemberUniqueName="[A2020].[nombre_cuenta].[All]" allUniqueName="[A2020].[nombre_cuenta].[All]" dimensionUniqueName="[A2020]" displayFolder="" count="0" memberValueDatatype="130" unbalanced="0"/>
    <cacheHierarchy uniqueName="[A2020].[grupo_cuenta]" caption="grupo_cuenta" attribute="1" defaultMemberUniqueName="[A2020].[grupo_cuenta].[All]" allUniqueName="[A2020].[grupo_cuenta].[All]" dimensionUniqueName="[A2020]" displayFolder="" count="0" memberValueDatatype="130" unbalanced="0"/>
    <cacheHierarchy uniqueName="[A2020].[grupo_analisis]" caption="grupo_analisis" attribute="1" defaultMemberUniqueName="[A2020].[grupo_analisis].[All]" allUniqueName="[A2020].[grupo_analisis].[All]" dimensionUniqueName="[A2020]" displayFolder="" count="0" memberValueDatatype="130" unbalanced="0"/>
    <cacheHierarchy uniqueName="[A2020].[valor]" caption="valor" attribute="1" defaultMemberUniqueName="[A2020].[valor].[All]" allUniqueName="[A2020].[valor].[All]" dimensionUniqueName="[A2020]" displayFolder="" count="0" memberValueDatatype="5" unbalanced="0"/>
    <cacheHierarchy uniqueName="[A2020].[informacion]" caption="informacion" attribute="1" defaultMemberUniqueName="[A2020].[informacion].[All]" allUniqueName="[A2020].[informacion].[All]" dimensionUniqueName="[A2020]" displayFolder="" count="0" memberValueDatatype="130" unbalanced="0"/>
    <cacheHierarchy uniqueName="[A2020].[departamento_padre]" caption="departamento_padre" attribute="1" defaultMemberUniqueName="[A2020].[departamento_padre].[All]" allUniqueName="[A2020].[departamento_padre].[All]" dimensionUniqueName="[A2020]" displayFolder="" count="0" memberValueDatatype="130" unbalanced="0"/>
    <cacheHierarchy uniqueName="[A2020].[departamento_hijo]" caption="departamento_hijo" attribute="1" defaultMemberUniqueName="[A2020].[departamento_hijo].[All]" allUniqueName="[A2020].[departamento_hijo].[All]" dimensionUniqueName="[A2020]" displayFolder="" count="0" memberValueDatatype="130" unbalanced="0"/>
    <cacheHierarchy uniqueName="[A2020].[departamento_jerarquia1]" caption="departamento_jerarquia1" attribute="1" defaultMemberUniqueName="[A2020].[departamento_jerarquia1].[All]" allUniqueName="[A2020].[departamento_jerarquia1].[All]" dimensionUniqueName="[A2020]" displayFolder="" count="0" memberValueDatatype="130" unbalanced="0"/>
    <cacheHierarchy uniqueName="[A2020].[departamento_jerarquia2]" caption="departamento_jerarquia2" attribute="1" defaultMemberUniqueName="[A2020].[departamento_jerarquia2].[All]" allUniqueName="[A2020].[departamento_jerarquia2].[All]" dimensionUniqueName="[A2020]" displayFolder="" count="0" memberValueDatatype="130" unbalanced="0"/>
    <cacheHierarchy uniqueName="[A2020].[nombre_departamento_padre]" caption="nombre_departamento_padre" attribute="1" defaultMemberUniqueName="[A2020].[nombre_departamento_padre].[All]" allUniqueName="[A2020].[nombre_departamento_padre].[All]" dimensionUniqueName="[A2020]" displayFolder="" count="0" memberValueDatatype="130" unbalanced="0"/>
    <cacheHierarchy uniqueName="[A2020].[numero_nivel]" caption="numero_nivel" attribute="1" defaultMemberUniqueName="[A2020].[numero_nivel].[All]" allUniqueName="[A2020].[numero_nivel].[All]" dimensionUniqueName="[A2020]" displayFolder="" count="0" memberValueDatatype="20" unbalanced="0"/>
    <cacheHierarchy uniqueName="[A2020].[nombre_departamento_hijo]" caption="nombre_departamento_hijo" attribute="1" defaultMemberUniqueName="[A2020].[nombre_departamento_hijo].[All]" allUniqueName="[A2020].[nombre_departamento_hijo].[All]" dimensionUniqueName="[A2020]" displayFolder="" count="0" memberValueDatatype="130" unbalanced="0"/>
    <cacheHierarchy uniqueName="[A2020].[proyecto]" caption="proyecto" attribute="1" defaultMemberUniqueName="[A2020].[proyecto].[All]" allUniqueName="[A2020].[proyecto].[All]" dimensionUniqueName="[A2020]" displayFolder="" count="0" memberValueDatatype="130" unbalanced="0"/>
    <cacheHierarchy uniqueName="[A2020].[grupo_jerarquia]" caption="grupo_jerarquia" attribute="1" defaultMemberUniqueName="[A2020].[grupo_jerarquia].[All]" allUniqueName="[A2020].[grupo_jerarquia].[All]" dimensionUniqueName="[A2020]" displayFolder="" count="0" memberValueDatatype="130" unbalanced="0"/>
    <cacheHierarchy uniqueName="[A2020].[nombre_grupo_jerarquia]" caption="nombre_grupo_jerarquia" attribute="1" defaultMemberUniqueName="[A2020].[nombre_grupo_jerarquia].[All]" allUniqueName="[A2020].[nombre_grupo_jerarquia].[All]" dimensionUniqueName="[A2020]" displayFolder="" count="0" memberValueDatatype="130" unbalanced="0"/>
    <cacheHierarchy uniqueName="[A2020].[tipo_cuenta]" caption="tipo_cuenta" attribute="1" defaultMemberUniqueName="[A2020].[tipo_cuenta].[All]" allUniqueName="[A2020].[tipo_cuenta].[All]" dimensionUniqueName="[A2020]" displayFolder="" count="0" memberValueDatatype="130" unbalanced="0"/>
    <cacheHierarchy uniqueName="[A2020].[nombre_tipo_cuenta]" caption="nombre_tipo_cuenta" attribute="1" defaultMemberUniqueName="[A2020].[nombre_tipo_cuenta].[All]" allUniqueName="[A2020].[nombre_tipo_cuenta].[All]" dimensionUniqueName="[A2020]" displayFolder="" count="0" memberValueDatatype="130" unbalanced="0"/>
    <cacheHierarchy uniqueName="[A2020].[tipo_unidad]" caption="tipo_unidad" attribute="1" defaultMemberUniqueName="[A2020].[tipo_unidad].[All]" allUniqueName="[A2020].[tipo_unidad].[All]" dimensionUniqueName="[A2020]" displayFolder="" count="0" memberValueDatatype="130" unbalanced="0"/>
    <cacheHierarchy uniqueName="[A2020].[nombre_tipo_unidad]" caption="nombre_tipo_unidad" attribute="1" defaultMemberUniqueName="[A2020].[nombre_tipo_unidad].[All]" allUniqueName="[A2020].[nombre_tipo_unidad].[All]" dimensionUniqueName="[A2020]" displayFolder="" count="0" memberValueDatatype="130" unbalanced="0"/>
    <cacheHierarchy uniqueName="[A2020].[tipo_programa]" caption="tipo_programa" attribute="1" defaultMemberUniqueName="[A2020].[tipo_programa].[All]" allUniqueName="[A2020].[tipo_programa].[All]" dimensionUniqueName="[A2020]" displayFolder="" count="0" memberValueDatatype="130" unbalanced="0"/>
    <cacheHierarchy uniqueName="[A2020].[nombre_tipo_programa]" caption="nombre_tipo_programa" attribute="1" defaultMemberUniqueName="[A2020].[nombre_tipo_programa].[All]" allUniqueName="[A2020].[nombre_tipo_programa].[All]" dimensionUniqueName="[A2020]" displayFolder="" count="0" memberValueDatatype="130" unbalanced="0"/>
    <cacheHierarchy uniqueName="[A2020].[nombre_metodologia]" caption="nombre_metodologia" attribute="1" defaultMemberUniqueName="[A2020].[nombre_metodologia].[All]" allUniqueName="[A2020].[nombre_metodologia].[All]" dimensionUniqueName="[A2020]" displayFolder="" count="0" memberValueDatatype="130" unbalanced="0"/>
    <cacheHierarchy uniqueName="[A2020].[tipo_departamento]" caption="tipo_departamento" attribute="1" defaultMemberUniqueName="[A2020].[tipo_departamento].[All]" allUniqueName="[A2020].[tipo_departamento].[All]" dimensionUniqueName="[A2020]" displayFolder="" count="0" memberValueDatatype="130" unbalanced="0"/>
    <cacheHierarchy uniqueName="[A2020].[horizonte]" caption="horizonte" attribute="1" defaultMemberUniqueName="[A2020].[horizonte].[All]" allUniqueName="[A2020].[horizonte].[All]" dimensionUniqueName="[A2020]" displayFolder="" count="0" memberValueDatatype="130" unbalanced="0"/>
    <cacheHierarchy uniqueName="[IF].[ano]" caption="ano" attribute="1" defaultMemberUniqueName="[IF].[ano].[All]" allUniqueName="[IF].[ano].[All]" dimensionUniqueName="[IF]" displayFolder="" count="0" memberValueDatatype="20" unbalanced="0"/>
    <cacheHierarchy uniqueName="[IF].[mes]" caption="mes" attribute="1" defaultMemberUniqueName="[IF].[mes].[All]" allUniqueName="[IF].[mes].[All]" dimensionUniqueName="[IF]" displayFolder="" count="0" memberValueDatatype="20" unbalanced="0"/>
    <cacheHierarchy uniqueName="[IF].[cuenta_ppto]" caption="cuenta_ppto" attribute="1" defaultMemberUniqueName="[IF].[cuenta_ppto].[All]" allUniqueName="[IF].[cuenta_ppto].[All]" dimensionUniqueName="[IF]" displayFolder="" count="0" memberValueDatatype="130" unbalanced="0"/>
    <cacheHierarchy uniqueName="[IF].[nombre_cuenta]" caption="nombre_cuenta" attribute="1" defaultMemberUniqueName="[IF].[nombre_cuenta].[All]" allUniqueName="[IF].[nombre_cuenta].[All]" dimensionUniqueName="[IF]" displayFolder="" count="0" memberValueDatatype="130" unbalanced="0"/>
    <cacheHierarchy uniqueName="[IF].[grupo_cuenta]" caption="grupo_cuenta" attribute="1" defaultMemberUniqueName="[IF].[grupo_cuenta].[All]" allUniqueName="[IF].[grupo_cuenta].[All]" dimensionUniqueName="[IF]" displayFolder="" count="0" memberValueDatatype="130" unbalanced="0"/>
    <cacheHierarchy uniqueName="[IF].[grupo_analisis]" caption="grupo_analisis" attribute="1" defaultMemberUniqueName="[IF].[grupo_analisis].[All]" allUniqueName="[IF].[grupo_analisis].[All]" dimensionUniqueName="[IF]" displayFolder="" count="0" memberValueDatatype="130" unbalanced="0"/>
    <cacheHierarchy uniqueName="[IF].[valor]" caption="valor" attribute="1" defaultMemberUniqueName="[IF].[valor].[All]" allUniqueName="[IF].[valor].[All]" dimensionUniqueName="[IF]" displayFolder="" count="0" memberValueDatatype="5" unbalanced="0"/>
    <cacheHierarchy uniqueName="[IF].[informacion]" caption="informacion" attribute="1" defaultMemberUniqueName="[IF].[informacion].[All]" allUniqueName="[IF].[informacion].[All]" dimensionUniqueName="[IF]" displayFolder="" count="0" memberValueDatatype="130" unbalanced="0"/>
    <cacheHierarchy uniqueName="[IF].[departamento_padre]" caption="departamento_padre" attribute="1" defaultMemberUniqueName="[IF].[departamento_padre].[All]" allUniqueName="[IF].[departamento_padre].[All]" dimensionUniqueName="[IF]" displayFolder="" count="0" memberValueDatatype="130" unbalanced="0"/>
    <cacheHierarchy uniqueName="[IF].[departamento_hijo]" caption="departamento_hijo" attribute="1" defaultMemberUniqueName="[IF].[departamento_hijo].[All]" allUniqueName="[IF].[departamento_hijo].[All]" dimensionUniqueName="[IF]" displayFolder="" count="0" memberValueDatatype="130" unbalanced="0"/>
    <cacheHierarchy uniqueName="[IF].[departamento_jerarquia1]" caption="departamento_jerarquia1" attribute="1" defaultMemberUniqueName="[IF].[departamento_jerarquia1].[All]" allUniqueName="[IF].[departamento_jerarquia1].[All]" dimensionUniqueName="[IF]" displayFolder="" count="2" memberValueDatatype="130" unbalanced="0">
      <fieldsUsage count="2">
        <fieldUsage x="-1"/>
        <fieldUsage x="4"/>
      </fieldsUsage>
    </cacheHierarchy>
    <cacheHierarchy uniqueName="[IF].[departamento_jerarquia2]" caption="departamento_jerarquia2" attribute="1" defaultMemberUniqueName="[IF].[departamento_jerarquia2].[All]" allUniqueName="[IF].[departamento_jerarquia2].[All]" dimensionUniqueName="[IF]" displayFolder="" count="0" memberValueDatatype="130" unbalanced="0"/>
    <cacheHierarchy uniqueName="[IF].[nombre_departamento_padre]" caption="nombre_departamento_padre" attribute="1" defaultMemberUniqueName="[IF].[nombre_departamento_padre].[All]" allUniqueName="[IF].[nombre_departamento_padre].[All]" dimensionUniqueName="[IF]" displayFolder="" count="0" memberValueDatatype="130" unbalanced="0"/>
    <cacheHierarchy uniqueName="[IF].[numero_nivel]" caption="numero_nivel" attribute="1" defaultMemberUniqueName="[IF].[numero_nivel].[All]" allUniqueName="[IF].[numero_nivel].[All]" dimensionUniqueName="[IF]" displayFolder="" count="0" memberValueDatatype="20" unbalanced="0"/>
    <cacheHierarchy uniqueName="[IF].[nombre_departamento_hijo]" caption="nombre_departamento_hijo" attribute="1" defaultMemberUniqueName="[IF].[nombre_departamento_hijo].[All]" allUniqueName="[IF].[nombre_departamento_hijo].[All]" dimensionUniqueName="[IF]" displayFolder="" count="0" memberValueDatatype="130" unbalanced="0"/>
    <cacheHierarchy uniqueName="[IF].[proyecto]" caption="proyecto" attribute="1" defaultMemberUniqueName="[IF].[proyecto].[All]" allUniqueName="[IF].[proyecto].[All]" dimensionUniqueName="[IF]" displayFolder="" count="0" memberValueDatatype="130" unbalanced="0"/>
    <cacheHierarchy uniqueName="[IF].[grupo_jerarquia]" caption="grupo_jerarquia" attribute="1" defaultMemberUniqueName="[IF].[grupo_jerarquia].[All]" allUniqueName="[IF].[grupo_jerarquia].[All]" dimensionUniqueName="[IF]" displayFolder="" count="0" memberValueDatatype="130" unbalanced="0"/>
    <cacheHierarchy uniqueName="[IF].[nombre_grupo_jerarquia]" caption="nombre_grupo_jerarquia" attribute="1" defaultMemberUniqueName="[IF].[nombre_grupo_jerarquia].[All]" allUniqueName="[IF].[nombre_grupo_jerarquia].[All]" dimensionUniqueName="[IF]" displayFolder="" count="0" memberValueDatatype="130" unbalanced="0"/>
    <cacheHierarchy uniqueName="[IF].[tipo_cuenta]" caption="tipo_cuenta" attribute="1" defaultMemberUniqueName="[IF].[tipo_cuenta].[All]" allUniqueName="[IF].[tipo_cuenta].[All]" dimensionUniqueName="[IF]" displayFolder="" count="0" memberValueDatatype="130" unbalanced="0"/>
    <cacheHierarchy uniqueName="[IF].[nombre_tipo_cuenta]" caption="nombre_tipo_cuenta" attribute="1" defaultMemberUniqueName="[IF].[nombre_tipo_cuenta].[All]" allUniqueName="[IF].[nombre_tipo_cuenta].[All]" dimensionUniqueName="[IF]" displayFolder="" count="0" memberValueDatatype="130" unbalanced="0"/>
    <cacheHierarchy uniqueName="[IF].[tipo_unidad]" caption="tipo_unidad" attribute="1" defaultMemberUniqueName="[IF].[tipo_unidad].[All]" allUniqueName="[IF].[tipo_unidad].[All]" dimensionUniqueName="[IF]" displayFolder="" count="0" memberValueDatatype="130" unbalanced="0"/>
    <cacheHierarchy uniqueName="[IF].[nombre_tipo_unidad]" caption="nombre_tipo_unidad" attribute="1" defaultMemberUniqueName="[IF].[nombre_tipo_unidad].[All]" allUniqueName="[IF].[nombre_tipo_unidad].[All]" dimensionUniqueName="[IF]" displayFolder="" count="0" memberValueDatatype="130" unbalanced="0"/>
    <cacheHierarchy uniqueName="[IF].[tipo_programa]" caption="tipo_programa" attribute="1" defaultMemberUniqueName="[IF].[tipo_programa].[All]" allUniqueName="[IF].[tipo_programa].[All]" dimensionUniqueName="[IF]" displayFolder="" count="0" memberValueDatatype="130" unbalanced="0"/>
    <cacheHierarchy uniqueName="[IF].[nombre_tipo_programa]" caption="nombre_tipo_programa" attribute="1" defaultMemberUniqueName="[IF].[nombre_tipo_programa].[All]" allUniqueName="[IF].[nombre_tipo_programa].[All]" dimensionUniqueName="[IF]" displayFolder="" count="0" memberValueDatatype="130" unbalanced="0"/>
    <cacheHierarchy uniqueName="[IF].[nombre_metodologia]" caption="nombre_metodologia" attribute="1" defaultMemberUniqueName="[IF].[nombre_metodologia].[All]" allUniqueName="[IF].[nombre_metodologia].[All]" dimensionUniqueName="[IF]" displayFolder="" count="0" memberValueDatatype="130" unbalanced="0"/>
    <cacheHierarchy uniqueName="[IF].[tipo_departamento]" caption="tipo_departamento" attribute="1" defaultMemberUniqueName="[IF].[tipo_departamento].[All]" allUniqueName="[IF].[tipo_departamento].[All]" dimensionUniqueName="[IF]" displayFolder="" count="0" memberValueDatatype="130" unbalanced="0"/>
    <cacheHierarchy uniqueName="[IF].[horizonte]" caption="horizonte" attribute="1" defaultMemberUniqueName="[IF].[horizonte].[All]" allUniqueName="[IF].[horizonte].[All]" dimensionUniqueName="[IF]" displayFolder="" count="0" memberValueDatatype="130" unbalanced="0"/>
    <cacheHierarchy uniqueName="[poblacion_postgrado].[ano]" caption="ano" attribute="1" defaultMemberUniqueName="[poblacion_postgrado].[ano].[All]" allUniqueName="[poblacion_postgrado].[ano].[All]" dimensionUniqueName="[poblacion_postgrado]" displayFolder="" count="0" memberValueDatatype="20" unbalanced="0"/>
    <cacheHierarchy uniqueName="[poblacion_postgrado].[periodo]" caption="periodo" attribute="1" defaultMemberUniqueName="[poblacion_postgrado].[periodo].[All]" allUniqueName="[poblacion_postgrado].[periodo].[All]" dimensionUniqueName="[poblacion_postgrado]" displayFolder="" count="0" memberValueDatatype="130" unbalanced="0"/>
    <cacheHierarchy uniqueName="[poblacion_postgrado].[semestre]" caption="semestre" attribute="1" defaultMemberUniqueName="[poblacion_postgrado].[semestre].[All]" allUniqueName="[poblacion_postgrado].[semestre].[All]" dimensionUniqueName="[poblacion_postgrado]" displayFolder="" count="0" memberValueDatatype="20" unbalanced="0"/>
    <cacheHierarchy uniqueName="[poblacion_postgrado].[fecha]" caption="fecha" attribute="1" defaultMemberUniqueName="[poblacion_postgrado].[fecha].[All]" allUniqueName="[poblacion_postgrado].[fecha].[All]" dimensionUniqueName="[poblacion_postgrado]" displayFolder="" count="0" memberValueDatatype="130" unbalanced="0"/>
    <cacheHierarchy uniqueName="[poblacion_postgrado].[departamento_padre]" caption="departamento_padre" attribute="1" defaultMemberUniqueName="[poblacion_postgrado].[departamento_padre].[All]" allUniqueName="[poblacion_postgrado].[departamento_padre].[All]" dimensionUniqueName="[poblacion_postgrado]" displayFolder="" count="0" memberValueDatatype="130" unbalanced="0"/>
    <cacheHierarchy uniqueName="[poblacion_postgrado].[nombre_departamento_padre]" caption="nombre_departamento_padre" attribute="1" defaultMemberUniqueName="[poblacion_postgrado].[nombre_departamento_padre].[All]" allUniqueName="[poblacion_postgrado].[nombre_departamento_padre].[All]" dimensionUniqueName="[poblacion_postgrado]" displayFolder="" count="0" memberValueDatatype="130" unbalanced="0"/>
    <cacheHierarchy uniqueName="[poblacion_postgrado].[departamento]" caption="departamento" attribute="1" defaultMemberUniqueName="[poblacion_postgrado].[departamento].[All]" allUniqueName="[poblacion_postgrado].[departamento].[All]" dimensionUniqueName="[poblacion_postgrado]" displayFolder="" count="0" memberValueDatatype="130" unbalanced="0"/>
    <cacheHierarchy uniqueName="[poblacion_postgrado].[nombre_departamento_hijo]" caption="nombre_departamento_hijo" attribute="1" defaultMemberUniqueName="[poblacion_postgrado].[nombre_departamento_hijo].[All]" allUniqueName="[poblacion_postgrado].[nombre_departamento_hijo].[All]" dimensionUniqueName="[poblacion_postgrado]" displayFolder="" count="0" memberValueDatatype="130" unbalanced="0"/>
    <cacheHierarchy uniqueName="[poblacion_postgrado].[tipo_programa]" caption="tipo_programa" attribute="1" defaultMemberUniqueName="[poblacion_postgrado].[tipo_programa].[All]" allUniqueName="[poblacion_postgrado].[tipo_programa].[All]" dimensionUniqueName="[poblacion_postgrado]" displayFolder="" count="0" memberValueDatatype="130" unbalanced="0"/>
    <cacheHierarchy uniqueName="[poblacion_postgrado].[nombre_tipo_programa]" caption="nombre_tipo_programa" attribute="1" defaultMemberUniqueName="[poblacion_postgrado].[nombre_tipo_programa].[All]" allUniqueName="[poblacion_postgrado].[nombre_tipo_programa].[All]" dimensionUniqueName="[poblacion_postgrado]" displayFolder="" count="0" memberValueDatatype="130" unbalanced="0"/>
    <cacheHierarchy uniqueName="[poblacion_postgrado].[nombre_metodologia]" caption="nombre_metodologia" attribute="1" defaultMemberUniqueName="[poblacion_postgrado].[nombre_metodologia].[All]" allUniqueName="[poblacion_postgrado].[nombre_metodologia].[All]" dimensionUniqueName="[poblacion_postgrado]" displayFolder="" count="0" memberValueDatatype="130" unbalanced="0"/>
    <cacheHierarchy uniqueName="[poblacion_postgrado].[ppto_nuevos]" caption="ppto_nuevos" attribute="1" defaultMemberUniqueName="[poblacion_postgrado].[ppto_nuevos].[All]" allUniqueName="[poblacion_postgrado].[ppto_nuevos].[All]" dimensionUniqueName="[poblacion_postgrado]" displayFolder="" count="0" memberValueDatatype="20" unbalanced="0"/>
    <cacheHierarchy uniqueName="[poblacion_postgrado].[ppto_antiguos]" caption="ppto_antiguos" attribute="1" defaultMemberUniqueName="[poblacion_postgrado].[ppto_antiguos].[All]" allUniqueName="[poblacion_postgrado].[ppto_antiguos].[All]" dimensionUniqueName="[poblacion_postgrado]" displayFolder="" count="0" memberValueDatatype="20" unbalanced="0"/>
    <cacheHierarchy uniqueName="[poblacion_postgrado].[real_nuevos]" caption="real_nuevos" attribute="1" defaultMemberUniqueName="[poblacion_postgrado].[real_nuevos].[All]" allUniqueName="[poblacion_postgrado].[real_nuevos].[All]" dimensionUniqueName="[poblacion_postgrado]" displayFolder="" count="0" memberValueDatatype="20" unbalanced="0"/>
    <cacheHierarchy uniqueName="[poblacion_postgrado].[real_antiguos]" caption="real_antiguos" attribute="1" defaultMemberUniqueName="[poblacion_postgrado].[real_antiguos].[All]" allUniqueName="[poblacion_postgrado].[real_antiguos].[All]" dimensionUniqueName="[poblacion_postgrado]" displayFolder="" count="0" memberValueDatatype="20" unbalanced="0"/>
    <cacheHierarchy uniqueName="[poblacion_postgrado].[ppto]" caption="ppto" attribute="1" defaultMemberUniqueName="[poblacion_postgrado].[ppto].[All]" allUniqueName="[poblacion_postgrado].[ppto].[All]" dimensionUniqueName="[poblacion_postgrado]" displayFolder="" count="0" memberValueDatatype="20" unbalanced="0"/>
    <cacheHierarchy uniqueName="[poblacion_postgrado].[real]" caption="real" attribute="1" defaultMemberUniqueName="[poblacion_postgrado].[real].[All]" allUniqueName="[poblacion_postgrado].[real].[All]" dimensionUniqueName="[poblacion_postgrado]" displayFolder="" count="0" memberValueDatatype="20" unbalanced="0"/>
    <cacheHierarchy uniqueName="[poblacion_postgrado].[diferencia]" caption="diferencia" attribute="1" defaultMemberUniqueName="[poblacion_postgrado].[diferencia].[All]" allUniqueName="[poblacion_postgrado].[diferencia].[All]" dimensionUniqueName="[poblacion_postgrado]" displayFolder="" count="0" memberValueDatatype="20" unbalanced="0"/>
    <cacheHierarchy uniqueName="[poblacion_pregrado].[ano]" caption="ano" attribute="1" defaultMemberUniqueName="[poblacion_pregrado].[ano].[All]" allUniqueName="[poblacion_pregrado].[ano].[All]" dimensionUniqueName="[poblacion_pregrado]" displayFolder="" count="2" memberValueDatatype="20" unbalanced="0">
      <fieldsUsage count="2">
        <fieldUsage x="-1"/>
        <fieldUsage x="1"/>
      </fieldsUsage>
    </cacheHierarchy>
    <cacheHierarchy uniqueName="[poblacion_pregrado].[periodo]" caption="periodo" attribute="1" defaultMemberUniqueName="[poblacion_pregrado].[periodo].[All]" allUniqueName="[poblacion_pregrado].[periodo].[All]" dimensionUniqueName="[poblacion_pregrado]" displayFolder="" count="0" memberValueDatatype="130" unbalanced="0"/>
    <cacheHierarchy uniqueName="[poblacion_pregrado].[semestre]" caption="semestre" attribute="1" defaultMemberUniqueName="[poblacion_pregrado].[semestre].[All]" allUniqueName="[poblacion_pregrado].[semestre].[All]" dimensionUniqueName="[poblacion_pregrado]" displayFolder="" count="2" memberValueDatatype="20" unbalanced="0">
      <fieldsUsage count="2">
        <fieldUsage x="-1"/>
        <fieldUsage x="2"/>
      </fieldsUsage>
    </cacheHierarchy>
    <cacheHierarchy uniqueName="[poblacion_pregrado].[departamento_padre]" caption="departamento_padre" attribute="1" defaultMemberUniqueName="[poblacion_pregrado].[departamento_padre].[All]" allUniqueName="[poblacion_pregrado].[departamento_padre].[All]" dimensionUniqueName="[poblacion_pregrado]" displayFolder="" count="0" memberValueDatatype="130" unbalanced="0"/>
    <cacheHierarchy uniqueName="[poblacion_pregrado].[nombre_departamento_padre]" caption="nombre_departamento_padre" attribute="1" defaultMemberUniqueName="[poblacion_pregrado].[nombre_departamento_padre].[All]" allUniqueName="[poblacion_pregrado].[nombre_departamento_padre].[All]" dimensionUniqueName="[poblacion_pregrado]" displayFolder="" count="2" memberValueDatatype="130" unbalanced="0">
      <fieldsUsage count="2">
        <fieldUsage x="-1"/>
        <fieldUsage x="5"/>
      </fieldsUsage>
    </cacheHierarchy>
    <cacheHierarchy uniqueName="[poblacion_pregrado].[departamento]" caption="departamento" attribute="1" defaultMemberUniqueName="[poblacion_pregrado].[departamento].[All]" allUniqueName="[poblacion_pregrado].[departamento].[All]" dimensionUniqueName="[poblacion_pregrado]" displayFolder="" count="0" memberValueDatatype="130" unbalanced="0"/>
    <cacheHierarchy uniqueName="[poblacion_pregrado].[nombre_departamento_hijo]" caption="nombre_departamento_hijo" attribute="1" defaultMemberUniqueName="[poblacion_pregrado].[nombre_departamento_hijo].[All]" allUniqueName="[poblacion_pregrado].[nombre_departamento_hijo].[All]" dimensionUniqueName="[poblacion_pregrado]" displayFolder="" count="2" memberValueDatatype="130" unbalanced="0">
      <fieldsUsage count="2">
        <fieldUsage x="-1"/>
        <fieldUsage x="0"/>
      </fieldsUsage>
    </cacheHierarchy>
    <cacheHierarchy uniqueName="[poblacion_pregrado].[nombre_tipo_estudiante]" caption="nombre_tipo_estudiante" attribute="1" defaultMemberUniqueName="[poblacion_pregrado].[nombre_tipo_estudiante].[All]" allUniqueName="[poblacion_pregrado].[nombre_tipo_estudiante].[All]" dimensionUniqueName="[poblacion_pregrado]" displayFolder="" count="0" memberValueDatatype="130" unbalanced="0"/>
    <cacheHierarchy uniqueName="[poblacion_pregrado].[ppto_nuevos]" caption="ppto_nuevos" attribute="1" defaultMemberUniqueName="[poblacion_pregrado].[ppto_nuevos].[All]" allUniqueName="[poblacion_pregrado].[ppto_nuevos].[All]" dimensionUniqueName="[poblacion_pregrado]" displayFolder="" count="0" memberValueDatatype="5" unbalanced="0"/>
    <cacheHierarchy uniqueName="[poblacion_pregrado].[ppto_antiguos]" caption="ppto_antiguos" attribute="1" defaultMemberUniqueName="[poblacion_pregrado].[ppto_antiguos].[All]" allUniqueName="[poblacion_pregrado].[ppto_antiguos].[All]" dimensionUniqueName="[poblacion_pregrado]" displayFolder="" count="0" memberValueDatatype="5" unbalanced="0"/>
    <cacheHierarchy uniqueName="[poblacion_pregrado].[real_nuevos]" caption="real_nuevos" attribute="1" defaultMemberUniqueName="[poblacion_pregrado].[real_nuevos].[All]" allUniqueName="[poblacion_pregrado].[real_nuevos].[All]" dimensionUniqueName="[poblacion_pregrado]" displayFolder="" count="0" memberValueDatatype="5" unbalanced="0"/>
    <cacheHierarchy uniqueName="[poblacion_pregrado].[real_antiguos]" caption="real_antiguos" attribute="1" defaultMemberUniqueName="[poblacion_pregrado].[real_antiguos].[All]" allUniqueName="[poblacion_pregrado].[real_antiguos].[All]" dimensionUniqueName="[poblacion_pregrado]" displayFolder="" count="0" memberValueDatatype="5" unbalanced="0"/>
    <cacheHierarchy uniqueName="[poblacion_pregrado].[ppto]" caption="ppto" attribute="1" defaultMemberUniqueName="[poblacion_pregrado].[ppto].[All]" allUniqueName="[poblacion_pregrado].[ppto].[All]" dimensionUniqueName="[poblacion_pregrado]" displayFolder="" count="0" memberValueDatatype="5" unbalanced="0"/>
    <cacheHierarchy uniqueName="[poblacion_pregrado].[real]" caption="real" attribute="1" defaultMemberUniqueName="[poblacion_pregrado].[real].[All]" allUniqueName="[poblacion_pregrado].[real].[All]" dimensionUniqueName="[poblacion_pregrado]" displayFolder="" count="0" memberValueDatatype="5" unbalanced="0"/>
    <cacheHierarchy uniqueName="[poblacion_pregrado].[diferencia]" caption="diferencia" attribute="1" defaultMemberUniqueName="[poblacion_pregrado].[diferencia].[All]" allUniqueName="[poblacion_pregrado].[diferencia].[All]" dimensionUniqueName="[poblacion_pregrado]" displayFolder="" count="0" memberValueDatatype="5" unbalanced="0"/>
    <cacheHierarchy uniqueName="[Measures].[__XL_Count A2020]" caption="__XL_Count A2020" measure="1" displayFolder="" measureGroup="A2020" count="0" hidden="1"/>
    <cacheHierarchy uniqueName="[Measures].[__XL_Count IF]" caption="__XL_Count IF" measure="1" displayFolder="" measureGroup="IF" count="0" hidden="1"/>
    <cacheHierarchy uniqueName="[Measures].[__XL_Count poblacion_pregrado]" caption="__XL_Count poblacion_pregrado" measure="1" displayFolder="" measureGroup="poblacion_pregrado" count="0" hidden="1"/>
    <cacheHierarchy uniqueName="[Measures].[__XL_Count poblacion_postgrado]" caption="__XL_Count poblacion_postgrado" measure="1" displayFolder="" measureGroup="poblacion_postgrado" count="0" hidden="1"/>
    <cacheHierarchy uniqueName="[Measures].[__No measures defined]" caption="__No measures defined" measure="1" displayFolder="" count="0" hidden="1"/>
    <cacheHierarchy uniqueName="[Measures].[Suma de valor]" caption="Suma de valor" measure="1" displayFolder="" measureGroup="IF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real]" caption="Suma de real" measure="1" displayFolder="" measureGroup="poblacion_pregrado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al_nuevos]" caption="Suma de real_nuev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real_antiguos]" caption="Suma de real_antigu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real 2]" caption="Suma de real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eal_nuevos 2]" caption="Suma de real_nuev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real_antiguos 2]" caption="Suma de real_antigu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</cacheHierarchies>
  <kpis count="0"/>
  <dimensions count="5">
    <dimension name="A2020" uniqueName="[A2020]" caption="A2020"/>
    <dimension name="IF" uniqueName="[IF]" caption="IF"/>
    <dimension measure="1" name="Measures" uniqueName="[Measures]" caption="Measures"/>
    <dimension name="poblacion_postgrado" uniqueName="[poblacion_postgrado]" caption="poblacion_postgrado"/>
    <dimension name="poblacion_pregrado" uniqueName="[poblacion_pregrado]" caption="poblacion_pregrado"/>
  </dimensions>
  <measureGroups count="4">
    <measureGroup name="A2020" caption="A2020"/>
    <measureGroup name="IF" caption="IF"/>
    <measureGroup name="poblacion_postgrado" caption="poblacion_postgrado"/>
    <measureGroup name="poblacion_pregrado" caption="poblacion_pregrado"/>
  </measureGroups>
  <maps count="4">
    <map measureGroup="0" dimension="0"/>
    <map measureGroup="1" dimension="1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los Alberto Ceballos Gutierrez" refreshedDate="44383.602635416668" createdVersion="5" refreshedVersion="7" minRefreshableVersion="3" recordCount="0" supportSubquery="1" supportAdvancedDrill="1" xr:uid="{287ED8EA-8958-4F22-BC84-1ABC49CC571B}">
  <cacheSource type="external" connectionId="8"/>
  <cacheFields count="8">
    <cacheField name="[IF].[departamento_jerarquia1].[departamento_jerarquia1]" caption="departamento_jerarquia1" numFmtId="0" hierarchy="37" level="1">
      <sharedItems containsSemiMixedTypes="0" containsNonDate="0" containsString="0"/>
    </cacheField>
    <cacheField name="[IF].[mes].[mes]" caption="mes" numFmtId="0" hierarchy="28" level="1">
      <sharedItems containsSemiMixedTypes="0" containsString="0" containsNumber="1" containsInteger="1" minValue="1" maxValue="12" count="7">
        <n v="1"/>
        <n v="2"/>
        <n v="3"/>
        <n v="4"/>
        <n v="5"/>
        <n v="6"/>
        <n v="12"/>
      </sharedItems>
      <extLst>
        <ext xmlns:x15="http://schemas.microsoft.com/office/spreadsheetml/2010/11/main" uri="{4F2E5C28-24EA-4eb8-9CBF-B6C8F9C3D259}">
          <x15:cachedUniqueNames>
            <x15:cachedUniqueName index="0" name="[IF].[mes].&amp;[1]"/>
            <x15:cachedUniqueName index="1" name="[IF].[mes].&amp;[2]"/>
            <x15:cachedUniqueName index="2" name="[IF].[mes].&amp;[3]"/>
            <x15:cachedUniqueName index="3" name="[IF].[mes].&amp;[4]"/>
            <x15:cachedUniqueName index="4" name="[IF].[mes].&amp;[5]"/>
            <x15:cachedUniqueName index="5" name="[IF].[mes].&amp;[6]"/>
            <x15:cachedUniqueName index="6" name="[IF].[mes].&amp;[12]"/>
          </x15:cachedUniqueNames>
        </ext>
      </extLst>
    </cacheField>
    <cacheField name="[IF].[ano].[ano]" caption="ano" numFmtId="0" hierarchy="27" level="1">
      <sharedItems containsSemiMixedTypes="0" containsString="0" containsNumber="1" containsInteger="1" minValue="2018" maxValue="2021" count="4"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IF].[ano].&amp;[2018]"/>
            <x15:cachedUniqueName index="1" name="[IF].[ano].&amp;[2019]"/>
            <x15:cachedUniqueName index="2" name="[IF].[ano].&amp;[2020]"/>
            <x15:cachedUniqueName index="3" name="[IF].[ano].&amp;[2021]"/>
          </x15:cachedUniqueNames>
        </ext>
      </extLst>
    </cacheField>
    <cacheField name="[IF].[informacion].[informacion]" caption="informacion" numFmtId="0" hierarchy="34" level="1">
      <sharedItems count="2">
        <s v="PRESUPUESTO"/>
        <s v="EJECUCION"/>
      </sharedItems>
    </cacheField>
    <cacheField name="[Measures].[Suma de valor]" caption="Suma de valor" numFmtId="0" hierarchy="92" level="32767"/>
    <cacheField name="[IF].[tipo_departamento].[tipo_departamento]" caption="tipo_departamento" numFmtId="0" hierarchy="52" level="1">
      <sharedItems containsSemiMixedTypes="0" containsNonDate="0" containsString="0"/>
    </cacheField>
    <cacheField name="[IF].[cuenta_ppto].[cuenta_ppto]" caption="cuenta_ppto" numFmtId="0" hierarchy="29" level="1">
      <sharedItems count="1">
        <s v="4160350002"/>
      </sharedItems>
    </cacheField>
    <cacheField name="[IF].[nombre_cuenta].[nombre_cuenta]" caption="nombre_cuenta" numFmtId="0" hierarchy="30" level="1">
      <sharedItems count="1">
        <s v="VACACIONALES"/>
      </sharedItems>
    </cacheField>
  </cacheFields>
  <cacheHierarchies count="99">
    <cacheHierarchy uniqueName="[A2020].[ano]" caption="ano" attribute="1" defaultMemberUniqueName="[A2020].[ano].[All]" allUniqueName="[A2020].[ano].[All]" dimensionUniqueName="[A2020]" displayFolder="" count="0" memberValueDatatype="20" unbalanced="0"/>
    <cacheHierarchy uniqueName="[A2020].[mes]" caption="mes" attribute="1" defaultMemberUniqueName="[A2020].[mes].[All]" allUniqueName="[A2020].[mes].[All]" dimensionUniqueName="[A2020]" displayFolder="" count="0" memberValueDatatype="20" unbalanced="0"/>
    <cacheHierarchy uniqueName="[A2020].[cuenta_ppto]" caption="cuenta_ppto" attribute="1" defaultMemberUniqueName="[A2020].[cuenta_ppto].[All]" allUniqueName="[A2020].[cuenta_ppto].[All]" dimensionUniqueName="[A2020]" displayFolder="" count="0" memberValueDatatype="130" unbalanced="0"/>
    <cacheHierarchy uniqueName="[A2020].[nombre_cuenta]" caption="nombre_cuenta" attribute="1" defaultMemberUniqueName="[A2020].[nombre_cuenta].[All]" allUniqueName="[A2020].[nombre_cuenta].[All]" dimensionUniqueName="[A2020]" displayFolder="" count="0" memberValueDatatype="130" unbalanced="0"/>
    <cacheHierarchy uniqueName="[A2020].[grupo_cuenta]" caption="grupo_cuenta" attribute="1" defaultMemberUniqueName="[A2020].[grupo_cuenta].[All]" allUniqueName="[A2020].[grupo_cuenta].[All]" dimensionUniqueName="[A2020]" displayFolder="" count="0" memberValueDatatype="130" unbalanced="0"/>
    <cacheHierarchy uniqueName="[A2020].[grupo_analisis]" caption="grupo_analisis" attribute="1" defaultMemberUniqueName="[A2020].[grupo_analisis].[All]" allUniqueName="[A2020].[grupo_analisis].[All]" dimensionUniqueName="[A2020]" displayFolder="" count="0" memberValueDatatype="130" unbalanced="0"/>
    <cacheHierarchy uniqueName="[A2020].[valor]" caption="valor" attribute="1" defaultMemberUniqueName="[A2020].[valor].[All]" allUniqueName="[A2020].[valor].[All]" dimensionUniqueName="[A2020]" displayFolder="" count="0" memberValueDatatype="5" unbalanced="0"/>
    <cacheHierarchy uniqueName="[A2020].[informacion]" caption="informacion" attribute="1" defaultMemberUniqueName="[A2020].[informacion].[All]" allUniqueName="[A2020].[informacion].[All]" dimensionUniqueName="[A2020]" displayFolder="" count="0" memberValueDatatype="130" unbalanced="0"/>
    <cacheHierarchy uniqueName="[A2020].[departamento_padre]" caption="departamento_padre" attribute="1" defaultMemberUniqueName="[A2020].[departamento_padre].[All]" allUniqueName="[A2020].[departamento_padre].[All]" dimensionUniqueName="[A2020]" displayFolder="" count="0" memberValueDatatype="130" unbalanced="0"/>
    <cacheHierarchy uniqueName="[A2020].[departamento_hijo]" caption="departamento_hijo" attribute="1" defaultMemberUniqueName="[A2020].[departamento_hijo].[All]" allUniqueName="[A2020].[departamento_hijo].[All]" dimensionUniqueName="[A2020]" displayFolder="" count="0" memberValueDatatype="130" unbalanced="0"/>
    <cacheHierarchy uniqueName="[A2020].[departamento_jerarquia1]" caption="departamento_jerarquia1" attribute="1" defaultMemberUniqueName="[A2020].[departamento_jerarquia1].[All]" allUniqueName="[A2020].[departamento_jerarquia1].[All]" dimensionUniqueName="[A2020]" displayFolder="" count="0" memberValueDatatype="130" unbalanced="0"/>
    <cacheHierarchy uniqueName="[A2020].[departamento_jerarquia2]" caption="departamento_jerarquia2" attribute="1" defaultMemberUniqueName="[A2020].[departamento_jerarquia2].[All]" allUniqueName="[A2020].[departamento_jerarquia2].[All]" dimensionUniqueName="[A2020]" displayFolder="" count="0" memberValueDatatype="130" unbalanced="0"/>
    <cacheHierarchy uniqueName="[A2020].[nombre_departamento_padre]" caption="nombre_departamento_padre" attribute="1" defaultMemberUniqueName="[A2020].[nombre_departamento_padre].[All]" allUniqueName="[A2020].[nombre_departamento_padre].[All]" dimensionUniqueName="[A2020]" displayFolder="" count="0" memberValueDatatype="130" unbalanced="0"/>
    <cacheHierarchy uniqueName="[A2020].[numero_nivel]" caption="numero_nivel" attribute="1" defaultMemberUniqueName="[A2020].[numero_nivel].[All]" allUniqueName="[A2020].[numero_nivel].[All]" dimensionUniqueName="[A2020]" displayFolder="" count="0" memberValueDatatype="20" unbalanced="0"/>
    <cacheHierarchy uniqueName="[A2020].[nombre_departamento_hijo]" caption="nombre_departamento_hijo" attribute="1" defaultMemberUniqueName="[A2020].[nombre_departamento_hijo].[All]" allUniqueName="[A2020].[nombre_departamento_hijo].[All]" dimensionUniqueName="[A2020]" displayFolder="" count="0" memberValueDatatype="130" unbalanced="0"/>
    <cacheHierarchy uniqueName="[A2020].[proyecto]" caption="proyecto" attribute="1" defaultMemberUniqueName="[A2020].[proyecto].[All]" allUniqueName="[A2020].[proyecto].[All]" dimensionUniqueName="[A2020]" displayFolder="" count="0" memberValueDatatype="130" unbalanced="0"/>
    <cacheHierarchy uniqueName="[A2020].[grupo_jerarquia]" caption="grupo_jerarquia" attribute="1" defaultMemberUniqueName="[A2020].[grupo_jerarquia].[All]" allUniqueName="[A2020].[grupo_jerarquia].[All]" dimensionUniqueName="[A2020]" displayFolder="" count="0" memberValueDatatype="130" unbalanced="0"/>
    <cacheHierarchy uniqueName="[A2020].[nombre_grupo_jerarquia]" caption="nombre_grupo_jerarquia" attribute="1" defaultMemberUniqueName="[A2020].[nombre_grupo_jerarquia].[All]" allUniqueName="[A2020].[nombre_grupo_jerarquia].[All]" dimensionUniqueName="[A2020]" displayFolder="" count="0" memberValueDatatype="130" unbalanced="0"/>
    <cacheHierarchy uniqueName="[A2020].[tipo_cuenta]" caption="tipo_cuenta" attribute="1" defaultMemberUniqueName="[A2020].[tipo_cuenta].[All]" allUniqueName="[A2020].[tipo_cuenta].[All]" dimensionUniqueName="[A2020]" displayFolder="" count="0" memberValueDatatype="130" unbalanced="0"/>
    <cacheHierarchy uniqueName="[A2020].[nombre_tipo_cuenta]" caption="nombre_tipo_cuenta" attribute="1" defaultMemberUniqueName="[A2020].[nombre_tipo_cuenta].[All]" allUniqueName="[A2020].[nombre_tipo_cuenta].[All]" dimensionUniqueName="[A2020]" displayFolder="" count="0" memberValueDatatype="130" unbalanced="0"/>
    <cacheHierarchy uniqueName="[A2020].[tipo_unidad]" caption="tipo_unidad" attribute="1" defaultMemberUniqueName="[A2020].[tipo_unidad].[All]" allUniqueName="[A2020].[tipo_unidad].[All]" dimensionUniqueName="[A2020]" displayFolder="" count="0" memberValueDatatype="130" unbalanced="0"/>
    <cacheHierarchy uniqueName="[A2020].[nombre_tipo_unidad]" caption="nombre_tipo_unidad" attribute="1" defaultMemberUniqueName="[A2020].[nombre_tipo_unidad].[All]" allUniqueName="[A2020].[nombre_tipo_unidad].[All]" dimensionUniqueName="[A2020]" displayFolder="" count="0" memberValueDatatype="130" unbalanced="0"/>
    <cacheHierarchy uniqueName="[A2020].[tipo_programa]" caption="tipo_programa" attribute="1" defaultMemberUniqueName="[A2020].[tipo_programa].[All]" allUniqueName="[A2020].[tipo_programa].[All]" dimensionUniqueName="[A2020]" displayFolder="" count="0" memberValueDatatype="130" unbalanced="0"/>
    <cacheHierarchy uniqueName="[A2020].[nombre_tipo_programa]" caption="nombre_tipo_programa" attribute="1" defaultMemberUniqueName="[A2020].[nombre_tipo_programa].[All]" allUniqueName="[A2020].[nombre_tipo_programa].[All]" dimensionUniqueName="[A2020]" displayFolder="" count="0" memberValueDatatype="130" unbalanced="0"/>
    <cacheHierarchy uniqueName="[A2020].[nombre_metodologia]" caption="nombre_metodologia" attribute="1" defaultMemberUniqueName="[A2020].[nombre_metodologia].[All]" allUniqueName="[A2020].[nombre_metodologia].[All]" dimensionUniqueName="[A2020]" displayFolder="" count="0" memberValueDatatype="130" unbalanced="0"/>
    <cacheHierarchy uniqueName="[A2020].[tipo_departamento]" caption="tipo_departamento" attribute="1" defaultMemberUniqueName="[A2020].[tipo_departamento].[All]" allUniqueName="[A2020].[tipo_departamento].[All]" dimensionUniqueName="[A2020]" displayFolder="" count="0" memberValueDatatype="130" unbalanced="0"/>
    <cacheHierarchy uniqueName="[A2020].[horizonte]" caption="horizonte" attribute="1" defaultMemberUniqueName="[A2020].[horizonte].[All]" allUniqueName="[A2020].[horizonte].[All]" dimensionUniqueName="[A2020]" displayFolder="" count="0" memberValueDatatype="130" unbalanced="0"/>
    <cacheHierarchy uniqueName="[IF].[ano]" caption="ano" attribute="1" defaultMemberUniqueName="[IF].[ano].[All]" allUniqueName="[IF].[ano].[All]" dimensionUniqueName="[IF]" displayFolder="" count="2" memberValueDatatype="20" unbalanced="0">
      <fieldsUsage count="2">
        <fieldUsage x="-1"/>
        <fieldUsage x="2"/>
      </fieldsUsage>
    </cacheHierarchy>
    <cacheHierarchy uniqueName="[IF].[mes]" caption="mes" attribute="1" defaultMemberUniqueName="[IF].[mes].[All]" allUniqueName="[IF].[mes].[All]" dimensionUniqueName="[IF]" displayFolder="" count="2" memberValueDatatype="20" unbalanced="0">
      <fieldsUsage count="2">
        <fieldUsage x="-1"/>
        <fieldUsage x="1"/>
      </fieldsUsage>
    </cacheHierarchy>
    <cacheHierarchy uniqueName="[IF].[cuenta_ppto]" caption="cuenta_ppto" attribute="1" defaultMemberUniqueName="[IF].[cuenta_ppto].[All]" allUniqueName="[IF].[cuenta_ppto].[All]" dimensionUniqueName="[IF]" displayFolder="" count="2" memberValueDatatype="130" unbalanced="0">
      <fieldsUsage count="2">
        <fieldUsage x="-1"/>
        <fieldUsage x="6"/>
      </fieldsUsage>
    </cacheHierarchy>
    <cacheHierarchy uniqueName="[IF].[nombre_cuenta]" caption="nombre_cuenta" attribute="1" defaultMemberUniqueName="[IF].[nombre_cuenta].[All]" allUniqueName="[IF].[nombre_cuenta].[All]" dimensionUniqueName="[IF]" displayFolder="" count="2" memberValueDatatype="130" unbalanced="0">
      <fieldsUsage count="2">
        <fieldUsage x="-1"/>
        <fieldUsage x="7"/>
      </fieldsUsage>
    </cacheHierarchy>
    <cacheHierarchy uniqueName="[IF].[grupo_cuenta]" caption="grupo_cuenta" attribute="1" defaultMemberUniqueName="[IF].[grupo_cuenta].[All]" allUniqueName="[IF].[grupo_cuenta].[All]" dimensionUniqueName="[IF]" displayFolder="" count="0" memberValueDatatype="130" unbalanced="0"/>
    <cacheHierarchy uniqueName="[IF].[grupo_analisis]" caption="grupo_analisis" attribute="1" defaultMemberUniqueName="[IF].[grupo_analisis].[All]" allUniqueName="[IF].[grupo_analisis].[All]" dimensionUniqueName="[IF]" displayFolder="" count="0" memberValueDatatype="130" unbalanced="0"/>
    <cacheHierarchy uniqueName="[IF].[valor]" caption="valor" attribute="1" defaultMemberUniqueName="[IF].[valor].[All]" allUniqueName="[IF].[valor].[All]" dimensionUniqueName="[IF]" displayFolder="" count="0" memberValueDatatype="5" unbalanced="0"/>
    <cacheHierarchy uniqueName="[IF].[informacion]" caption="informacion" attribute="1" defaultMemberUniqueName="[IF].[informacion].[All]" allUniqueName="[IF].[informacion].[All]" dimensionUniqueName="[IF]" displayFolder="" count="2" memberValueDatatype="130" unbalanced="0">
      <fieldsUsage count="2">
        <fieldUsage x="-1"/>
        <fieldUsage x="3"/>
      </fieldsUsage>
    </cacheHierarchy>
    <cacheHierarchy uniqueName="[IF].[departamento_padre]" caption="departamento_padre" attribute="1" defaultMemberUniqueName="[IF].[departamento_padre].[All]" allUniqueName="[IF].[departamento_padre].[All]" dimensionUniqueName="[IF]" displayFolder="" count="0" memberValueDatatype="130" unbalanced="0"/>
    <cacheHierarchy uniqueName="[IF].[departamento_hijo]" caption="departamento_hijo" attribute="1" defaultMemberUniqueName="[IF].[departamento_hijo].[All]" allUniqueName="[IF].[departamento_hijo].[All]" dimensionUniqueName="[IF]" displayFolder="" count="0" memberValueDatatype="130" unbalanced="0"/>
    <cacheHierarchy uniqueName="[IF].[departamento_jerarquia1]" caption="departamento_jerarquia1" attribute="1" defaultMemberUniqueName="[IF].[departamento_jerarquia1].[All]" allUniqueName="[IF].[departamento_jerarquia1].[All]" dimensionUniqueName="[IF]" displayFolder="" count="2" memberValueDatatype="130" unbalanced="0">
      <fieldsUsage count="2">
        <fieldUsage x="-1"/>
        <fieldUsage x="0"/>
      </fieldsUsage>
    </cacheHierarchy>
    <cacheHierarchy uniqueName="[IF].[departamento_jerarquia2]" caption="departamento_jerarquia2" attribute="1" defaultMemberUniqueName="[IF].[departamento_jerarquia2].[All]" allUniqueName="[IF].[departamento_jerarquia2].[All]" dimensionUniqueName="[IF]" displayFolder="" count="0" memberValueDatatype="130" unbalanced="0"/>
    <cacheHierarchy uniqueName="[IF].[nombre_departamento_padre]" caption="nombre_departamento_padre" attribute="1" defaultMemberUniqueName="[IF].[nombre_departamento_padre].[All]" allUniqueName="[IF].[nombre_departamento_padre].[All]" dimensionUniqueName="[IF]" displayFolder="" count="0" memberValueDatatype="130" unbalanced="0"/>
    <cacheHierarchy uniqueName="[IF].[numero_nivel]" caption="numero_nivel" attribute="1" defaultMemberUniqueName="[IF].[numero_nivel].[All]" allUniqueName="[IF].[numero_nivel].[All]" dimensionUniqueName="[IF]" displayFolder="" count="0" memberValueDatatype="20" unbalanced="0"/>
    <cacheHierarchy uniqueName="[IF].[nombre_departamento_hijo]" caption="nombre_departamento_hijo" attribute="1" defaultMemberUniqueName="[IF].[nombre_departamento_hijo].[All]" allUniqueName="[IF].[nombre_departamento_hijo].[All]" dimensionUniqueName="[IF]" displayFolder="" count="0" memberValueDatatype="130" unbalanced="0"/>
    <cacheHierarchy uniqueName="[IF].[proyecto]" caption="proyecto" attribute="1" defaultMemberUniqueName="[IF].[proyecto].[All]" allUniqueName="[IF].[proyecto].[All]" dimensionUniqueName="[IF]" displayFolder="" count="0" memberValueDatatype="130" unbalanced="0"/>
    <cacheHierarchy uniqueName="[IF].[grupo_jerarquia]" caption="grupo_jerarquia" attribute="1" defaultMemberUniqueName="[IF].[grupo_jerarquia].[All]" allUniqueName="[IF].[grupo_jerarquia].[All]" dimensionUniqueName="[IF]" displayFolder="" count="0" memberValueDatatype="130" unbalanced="0"/>
    <cacheHierarchy uniqueName="[IF].[nombre_grupo_jerarquia]" caption="nombre_grupo_jerarquia" attribute="1" defaultMemberUniqueName="[IF].[nombre_grupo_jerarquia].[All]" allUniqueName="[IF].[nombre_grupo_jerarquia].[All]" dimensionUniqueName="[IF]" displayFolder="" count="0" memberValueDatatype="130" unbalanced="0"/>
    <cacheHierarchy uniqueName="[IF].[tipo_cuenta]" caption="tipo_cuenta" attribute="1" defaultMemberUniqueName="[IF].[tipo_cuenta].[All]" allUniqueName="[IF].[tipo_cuenta].[All]" dimensionUniqueName="[IF]" displayFolder="" count="0" memberValueDatatype="130" unbalanced="0"/>
    <cacheHierarchy uniqueName="[IF].[nombre_tipo_cuenta]" caption="nombre_tipo_cuenta" attribute="1" defaultMemberUniqueName="[IF].[nombre_tipo_cuenta].[All]" allUniqueName="[IF].[nombre_tipo_cuenta].[All]" dimensionUniqueName="[IF]" displayFolder="" count="0" memberValueDatatype="130" unbalanced="0"/>
    <cacheHierarchy uniqueName="[IF].[tipo_unidad]" caption="tipo_unidad" attribute="1" defaultMemberUniqueName="[IF].[tipo_unidad].[All]" allUniqueName="[IF].[tipo_unidad].[All]" dimensionUniqueName="[IF]" displayFolder="" count="0" memberValueDatatype="130" unbalanced="0"/>
    <cacheHierarchy uniqueName="[IF].[nombre_tipo_unidad]" caption="nombre_tipo_unidad" attribute="1" defaultMemberUniqueName="[IF].[nombre_tipo_unidad].[All]" allUniqueName="[IF].[nombre_tipo_unidad].[All]" dimensionUniqueName="[IF]" displayFolder="" count="0" memberValueDatatype="130" unbalanced="0"/>
    <cacheHierarchy uniqueName="[IF].[tipo_programa]" caption="tipo_programa" attribute="1" defaultMemberUniqueName="[IF].[tipo_programa].[All]" allUniqueName="[IF].[tipo_programa].[All]" dimensionUniqueName="[IF]" displayFolder="" count="0" memberValueDatatype="130" unbalanced="0"/>
    <cacheHierarchy uniqueName="[IF].[nombre_tipo_programa]" caption="nombre_tipo_programa" attribute="1" defaultMemberUniqueName="[IF].[nombre_tipo_programa].[All]" allUniqueName="[IF].[nombre_tipo_programa].[All]" dimensionUniqueName="[IF]" displayFolder="" count="0" memberValueDatatype="130" unbalanced="0"/>
    <cacheHierarchy uniqueName="[IF].[nombre_metodologia]" caption="nombre_metodologia" attribute="1" defaultMemberUniqueName="[IF].[nombre_metodologia].[All]" allUniqueName="[IF].[nombre_metodologia].[All]" dimensionUniqueName="[IF]" displayFolder="" count="0" memberValueDatatype="130" unbalanced="0"/>
    <cacheHierarchy uniqueName="[IF].[tipo_departamento]" caption="tipo_departamento" attribute="1" defaultMemberUniqueName="[IF].[tipo_departamento].[All]" allUniqueName="[IF].[tipo_departamento].[All]" dimensionUniqueName="[IF]" displayFolder="" count="2" memberValueDatatype="130" unbalanced="0">
      <fieldsUsage count="2">
        <fieldUsage x="-1"/>
        <fieldUsage x="5"/>
      </fieldsUsage>
    </cacheHierarchy>
    <cacheHierarchy uniqueName="[IF].[horizonte]" caption="horizonte" attribute="1" defaultMemberUniqueName="[IF].[horizonte].[All]" allUniqueName="[IF].[horizonte].[All]" dimensionUniqueName="[IF]" displayFolder="" count="0" memberValueDatatype="130" unbalanced="0"/>
    <cacheHierarchy uniqueName="[poblacion_postgrado].[ano]" caption="ano" attribute="1" defaultMemberUniqueName="[poblacion_postgrado].[ano].[All]" allUniqueName="[poblacion_postgrado].[ano].[All]" dimensionUniqueName="[poblacion_postgrado]" displayFolder="" count="0" memberValueDatatype="20" unbalanced="0"/>
    <cacheHierarchy uniqueName="[poblacion_postgrado].[periodo]" caption="periodo" attribute="1" defaultMemberUniqueName="[poblacion_postgrado].[periodo].[All]" allUniqueName="[poblacion_postgrado].[periodo].[All]" dimensionUniqueName="[poblacion_postgrado]" displayFolder="" count="0" memberValueDatatype="130" unbalanced="0"/>
    <cacheHierarchy uniqueName="[poblacion_postgrado].[semestre]" caption="semestre" attribute="1" defaultMemberUniqueName="[poblacion_postgrado].[semestre].[All]" allUniqueName="[poblacion_postgrado].[semestre].[All]" dimensionUniqueName="[poblacion_postgrado]" displayFolder="" count="0" memberValueDatatype="20" unbalanced="0"/>
    <cacheHierarchy uniqueName="[poblacion_postgrado].[fecha]" caption="fecha" attribute="1" defaultMemberUniqueName="[poblacion_postgrado].[fecha].[All]" allUniqueName="[poblacion_postgrado].[fecha].[All]" dimensionUniqueName="[poblacion_postgrado]" displayFolder="" count="0" memberValueDatatype="130" unbalanced="0"/>
    <cacheHierarchy uniqueName="[poblacion_postgrado].[departamento_padre]" caption="departamento_padre" attribute="1" defaultMemberUniqueName="[poblacion_postgrado].[departamento_padre].[All]" allUniqueName="[poblacion_postgrado].[departamento_padre].[All]" dimensionUniqueName="[poblacion_postgrado]" displayFolder="" count="0" memberValueDatatype="130" unbalanced="0"/>
    <cacheHierarchy uniqueName="[poblacion_postgrado].[nombre_departamento_padre]" caption="nombre_departamento_padre" attribute="1" defaultMemberUniqueName="[poblacion_postgrado].[nombre_departamento_padre].[All]" allUniqueName="[poblacion_postgrado].[nombre_departamento_padre].[All]" dimensionUniqueName="[poblacion_postgrado]" displayFolder="" count="0" memberValueDatatype="130" unbalanced="0"/>
    <cacheHierarchy uniqueName="[poblacion_postgrado].[departamento]" caption="departamento" attribute="1" defaultMemberUniqueName="[poblacion_postgrado].[departamento].[All]" allUniqueName="[poblacion_postgrado].[departamento].[All]" dimensionUniqueName="[poblacion_postgrado]" displayFolder="" count="0" memberValueDatatype="130" unbalanced="0"/>
    <cacheHierarchy uniqueName="[poblacion_postgrado].[nombre_departamento_hijo]" caption="nombre_departamento_hijo" attribute="1" defaultMemberUniqueName="[poblacion_postgrado].[nombre_departamento_hijo].[All]" allUniqueName="[poblacion_postgrado].[nombre_departamento_hijo].[All]" dimensionUniqueName="[poblacion_postgrado]" displayFolder="" count="0" memberValueDatatype="130" unbalanced="0"/>
    <cacheHierarchy uniqueName="[poblacion_postgrado].[tipo_programa]" caption="tipo_programa" attribute="1" defaultMemberUniqueName="[poblacion_postgrado].[tipo_programa].[All]" allUniqueName="[poblacion_postgrado].[tipo_programa].[All]" dimensionUniqueName="[poblacion_postgrado]" displayFolder="" count="0" memberValueDatatype="130" unbalanced="0"/>
    <cacheHierarchy uniqueName="[poblacion_postgrado].[nombre_tipo_programa]" caption="nombre_tipo_programa" attribute="1" defaultMemberUniqueName="[poblacion_postgrado].[nombre_tipo_programa].[All]" allUniqueName="[poblacion_postgrado].[nombre_tipo_programa].[All]" dimensionUniqueName="[poblacion_postgrado]" displayFolder="" count="0" memberValueDatatype="130" unbalanced="0"/>
    <cacheHierarchy uniqueName="[poblacion_postgrado].[nombre_metodologia]" caption="nombre_metodologia" attribute="1" defaultMemberUniqueName="[poblacion_postgrado].[nombre_metodologia].[All]" allUniqueName="[poblacion_postgrado].[nombre_metodologia].[All]" dimensionUniqueName="[poblacion_postgrado]" displayFolder="" count="0" memberValueDatatype="130" unbalanced="0"/>
    <cacheHierarchy uniqueName="[poblacion_postgrado].[ppto_nuevos]" caption="ppto_nuevos" attribute="1" defaultMemberUniqueName="[poblacion_postgrado].[ppto_nuevos].[All]" allUniqueName="[poblacion_postgrado].[ppto_nuevos].[All]" dimensionUniqueName="[poblacion_postgrado]" displayFolder="" count="0" memberValueDatatype="20" unbalanced="0"/>
    <cacheHierarchy uniqueName="[poblacion_postgrado].[ppto_antiguos]" caption="ppto_antiguos" attribute="1" defaultMemberUniqueName="[poblacion_postgrado].[ppto_antiguos].[All]" allUniqueName="[poblacion_postgrado].[ppto_antiguos].[All]" dimensionUniqueName="[poblacion_postgrado]" displayFolder="" count="0" memberValueDatatype="20" unbalanced="0"/>
    <cacheHierarchy uniqueName="[poblacion_postgrado].[real_nuevos]" caption="real_nuevos" attribute="1" defaultMemberUniqueName="[poblacion_postgrado].[real_nuevos].[All]" allUniqueName="[poblacion_postgrado].[real_nuevos].[All]" dimensionUniqueName="[poblacion_postgrado]" displayFolder="" count="0" memberValueDatatype="20" unbalanced="0"/>
    <cacheHierarchy uniqueName="[poblacion_postgrado].[real_antiguos]" caption="real_antiguos" attribute="1" defaultMemberUniqueName="[poblacion_postgrado].[real_antiguos].[All]" allUniqueName="[poblacion_postgrado].[real_antiguos].[All]" dimensionUniqueName="[poblacion_postgrado]" displayFolder="" count="0" memberValueDatatype="20" unbalanced="0"/>
    <cacheHierarchy uniqueName="[poblacion_postgrado].[ppto]" caption="ppto" attribute="1" defaultMemberUniqueName="[poblacion_postgrado].[ppto].[All]" allUniqueName="[poblacion_postgrado].[ppto].[All]" dimensionUniqueName="[poblacion_postgrado]" displayFolder="" count="0" memberValueDatatype="20" unbalanced="0"/>
    <cacheHierarchy uniqueName="[poblacion_postgrado].[real]" caption="real" attribute="1" defaultMemberUniqueName="[poblacion_postgrado].[real].[All]" allUniqueName="[poblacion_postgrado].[real].[All]" dimensionUniqueName="[poblacion_postgrado]" displayFolder="" count="0" memberValueDatatype="20" unbalanced="0"/>
    <cacheHierarchy uniqueName="[poblacion_postgrado].[diferencia]" caption="diferencia" attribute="1" defaultMemberUniqueName="[poblacion_postgrado].[diferencia].[All]" allUniqueName="[poblacion_postgrado].[diferencia].[All]" dimensionUniqueName="[poblacion_postgrado]" displayFolder="" count="0" memberValueDatatype="20" unbalanced="0"/>
    <cacheHierarchy uniqueName="[poblacion_pregrado].[ano]" caption="ano" attribute="1" defaultMemberUniqueName="[poblacion_pregrado].[ano].[All]" allUniqueName="[poblacion_pregrado].[ano].[All]" dimensionUniqueName="[poblacion_pregrado]" displayFolder="" count="0" memberValueDatatype="20" unbalanced="0"/>
    <cacheHierarchy uniqueName="[poblacion_pregrado].[periodo]" caption="periodo" attribute="1" defaultMemberUniqueName="[poblacion_pregrado].[periodo].[All]" allUniqueName="[poblacion_pregrado].[periodo].[All]" dimensionUniqueName="[poblacion_pregrado]" displayFolder="" count="0" memberValueDatatype="130" unbalanced="0"/>
    <cacheHierarchy uniqueName="[poblacion_pregrado].[semestre]" caption="semestre" attribute="1" defaultMemberUniqueName="[poblacion_pregrado].[semestre].[All]" allUniqueName="[poblacion_pregrado].[semestre].[All]" dimensionUniqueName="[poblacion_pregrado]" displayFolder="" count="0" memberValueDatatype="20" unbalanced="0"/>
    <cacheHierarchy uniqueName="[poblacion_pregrado].[departamento_padre]" caption="departamento_padre" attribute="1" defaultMemberUniqueName="[poblacion_pregrado].[departamento_padre].[All]" allUniqueName="[poblacion_pregrado].[departamento_padre].[All]" dimensionUniqueName="[poblacion_pregrado]" displayFolder="" count="0" memberValueDatatype="130" unbalanced="0"/>
    <cacheHierarchy uniqueName="[poblacion_pregrado].[nombre_departamento_padre]" caption="nombre_departamento_padre" attribute="1" defaultMemberUniqueName="[poblacion_pregrado].[nombre_departamento_padre].[All]" allUniqueName="[poblacion_pregrado].[nombre_departamento_padre].[All]" dimensionUniqueName="[poblacion_pregrado]" displayFolder="" count="0" memberValueDatatype="130" unbalanced="0"/>
    <cacheHierarchy uniqueName="[poblacion_pregrado].[departamento]" caption="departamento" attribute="1" defaultMemberUniqueName="[poblacion_pregrado].[departamento].[All]" allUniqueName="[poblacion_pregrado].[departamento].[All]" dimensionUniqueName="[poblacion_pregrado]" displayFolder="" count="0" memberValueDatatype="130" unbalanced="0"/>
    <cacheHierarchy uniqueName="[poblacion_pregrado].[nombre_departamento_hijo]" caption="nombre_departamento_hijo" attribute="1" defaultMemberUniqueName="[poblacion_pregrado].[nombre_departamento_hijo].[All]" allUniqueName="[poblacion_pregrado].[nombre_departamento_hijo].[All]" dimensionUniqueName="[poblacion_pregrado]" displayFolder="" count="0" memberValueDatatype="130" unbalanced="0"/>
    <cacheHierarchy uniqueName="[poblacion_pregrado].[nombre_tipo_estudiante]" caption="nombre_tipo_estudiante" attribute="1" defaultMemberUniqueName="[poblacion_pregrado].[nombre_tipo_estudiante].[All]" allUniqueName="[poblacion_pregrado].[nombre_tipo_estudiante].[All]" dimensionUniqueName="[poblacion_pregrado]" displayFolder="" count="0" memberValueDatatype="130" unbalanced="0"/>
    <cacheHierarchy uniqueName="[poblacion_pregrado].[ppto_nuevos]" caption="ppto_nuevos" attribute="1" defaultMemberUniqueName="[poblacion_pregrado].[ppto_nuevos].[All]" allUniqueName="[poblacion_pregrado].[ppto_nuevos].[All]" dimensionUniqueName="[poblacion_pregrado]" displayFolder="" count="0" memberValueDatatype="5" unbalanced="0"/>
    <cacheHierarchy uniqueName="[poblacion_pregrado].[ppto_antiguos]" caption="ppto_antiguos" attribute="1" defaultMemberUniqueName="[poblacion_pregrado].[ppto_antiguos].[All]" allUniqueName="[poblacion_pregrado].[ppto_antiguos].[All]" dimensionUniqueName="[poblacion_pregrado]" displayFolder="" count="0" memberValueDatatype="5" unbalanced="0"/>
    <cacheHierarchy uniqueName="[poblacion_pregrado].[real_nuevos]" caption="real_nuevos" attribute="1" defaultMemberUniqueName="[poblacion_pregrado].[real_nuevos].[All]" allUniqueName="[poblacion_pregrado].[real_nuevos].[All]" dimensionUniqueName="[poblacion_pregrado]" displayFolder="" count="0" memberValueDatatype="5" unbalanced="0"/>
    <cacheHierarchy uniqueName="[poblacion_pregrado].[real_antiguos]" caption="real_antiguos" attribute="1" defaultMemberUniqueName="[poblacion_pregrado].[real_antiguos].[All]" allUniqueName="[poblacion_pregrado].[real_antiguos].[All]" dimensionUniqueName="[poblacion_pregrado]" displayFolder="" count="0" memberValueDatatype="5" unbalanced="0"/>
    <cacheHierarchy uniqueName="[poblacion_pregrado].[ppto]" caption="ppto" attribute="1" defaultMemberUniqueName="[poblacion_pregrado].[ppto].[All]" allUniqueName="[poblacion_pregrado].[ppto].[All]" dimensionUniqueName="[poblacion_pregrado]" displayFolder="" count="0" memberValueDatatype="5" unbalanced="0"/>
    <cacheHierarchy uniqueName="[poblacion_pregrado].[real]" caption="real" attribute="1" defaultMemberUniqueName="[poblacion_pregrado].[real].[All]" allUniqueName="[poblacion_pregrado].[real].[All]" dimensionUniqueName="[poblacion_pregrado]" displayFolder="" count="0" memberValueDatatype="5" unbalanced="0"/>
    <cacheHierarchy uniqueName="[poblacion_pregrado].[diferencia]" caption="diferencia" attribute="1" defaultMemberUniqueName="[poblacion_pregrado].[diferencia].[All]" allUniqueName="[poblacion_pregrado].[diferencia].[All]" dimensionUniqueName="[poblacion_pregrado]" displayFolder="" count="0" memberValueDatatype="5" unbalanced="0"/>
    <cacheHierarchy uniqueName="[Measures].[__XL_Count A2020]" caption="__XL_Count A2020" measure="1" displayFolder="" measureGroup="A2020" count="0" hidden="1"/>
    <cacheHierarchy uniqueName="[Measures].[__XL_Count IF]" caption="__XL_Count IF" measure="1" displayFolder="" measureGroup="IF" count="0" hidden="1"/>
    <cacheHierarchy uniqueName="[Measures].[__XL_Count poblacion_pregrado]" caption="__XL_Count poblacion_pregrado" measure="1" displayFolder="" measureGroup="poblacion_pregrado" count="0" hidden="1"/>
    <cacheHierarchy uniqueName="[Measures].[__XL_Count poblacion_postgrado]" caption="__XL_Count poblacion_postgrado" measure="1" displayFolder="" measureGroup="poblacion_postgrado" count="0" hidden="1"/>
    <cacheHierarchy uniqueName="[Measures].[__No measures defined]" caption="__No measures defined" measure="1" displayFolder="" count="0" hidden="1"/>
    <cacheHierarchy uniqueName="[Measures].[Suma de valor]" caption="Suma de valor" measure="1" displayFolder="" measureGroup="IF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real]" caption="Suma de real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al_nuevos]" caption="Suma de real_nuev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real_antiguos]" caption="Suma de real_antigu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real 2]" caption="Suma de real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eal_nuevos 2]" caption="Suma de real_nuev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real_antiguos 2]" caption="Suma de real_antigu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</cacheHierarchies>
  <kpis count="0"/>
  <dimensions count="5">
    <dimension name="A2020" uniqueName="[A2020]" caption="A2020"/>
    <dimension name="IF" uniqueName="[IF]" caption="IF"/>
    <dimension measure="1" name="Measures" uniqueName="[Measures]" caption="Measures"/>
    <dimension name="poblacion_postgrado" uniqueName="[poblacion_postgrado]" caption="poblacion_postgrado"/>
    <dimension name="poblacion_pregrado" uniqueName="[poblacion_pregrado]" caption="poblacion_pregrado"/>
  </dimensions>
  <measureGroups count="4">
    <measureGroup name="A2020" caption="A2020"/>
    <measureGroup name="IF" caption="IF"/>
    <measureGroup name="poblacion_postgrado" caption="poblacion_postgrado"/>
    <measureGroup name="poblacion_pregrado" caption="poblacion_pregrado"/>
  </measureGroups>
  <maps count="4">
    <map measureGroup="0" dimension="0"/>
    <map measureGroup="1" dimension="1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los Alberto Ceballos Gutierrez" refreshedDate="44383.602845833331" createdVersion="5" refreshedVersion="7" minRefreshableVersion="3" recordCount="0" supportSubquery="1" supportAdvancedDrill="1" xr:uid="{4979C279-506B-486A-BA35-B320639360EA}">
  <cacheSource type="external" connectionId="8"/>
  <cacheFields count="5">
    <cacheField name="[poblacion_postgrado].[ano].[ano]" caption="ano" numFmtId="0" hierarchy="54" level="1">
      <sharedItems containsSemiMixedTypes="0" containsString="0" containsNumber="1" containsInteger="1" minValue="2018" maxValue="2021" count="4"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oblacion_postgrado].[ano].&amp;[2018]"/>
            <x15:cachedUniqueName index="1" name="[poblacion_postgrado].[ano].&amp;[2019]"/>
            <x15:cachedUniqueName index="2" name="[poblacion_postgrado].[ano].&amp;[2020]"/>
            <x15:cachedUniqueName index="3" name="[poblacion_postgrado].[ano].&amp;[2021]"/>
          </x15:cachedUniqueNames>
        </ext>
      </extLst>
    </cacheField>
    <cacheField name="[poblacion_postgrado].[semestre].[semestre]" caption="semestre" numFmtId="0" hierarchy="56" level="1">
      <sharedItems containsSemiMixedTypes="0" containsString="0" containsNumber="1" containsInteger="1" minValue="1" maxValue="2" count="2">
        <n v="1"/>
        <n v="2"/>
      </sharedItems>
      <extLst>
        <ext xmlns:x15="http://schemas.microsoft.com/office/spreadsheetml/2010/11/main" uri="{4F2E5C28-24EA-4eb8-9CBF-B6C8F9C3D259}">
          <x15:cachedUniqueNames>
            <x15:cachedUniqueName index="0" name="[poblacion_postgrado].[semestre].&amp;[1]"/>
            <x15:cachedUniqueName index="1" name="[poblacion_postgrado].[semestre].&amp;[2]"/>
          </x15:cachedUniqueNames>
        </ext>
      </extLst>
    </cacheField>
    <cacheField name="[poblacion_postgrado].[nombre_departamento_hijo].[nombre_departamento_hijo]" caption="nombre_departamento_hijo" numFmtId="0" hierarchy="61" level="1">
      <sharedItems count="2">
        <s v="ESP DLLO PERSONAL Y FAMILIAR"/>
        <s v="MAE ASESORIA FAMILIAR Y GEST"/>
      </sharedItems>
    </cacheField>
    <cacheField name="[Measures].[Suma de real 2]" caption="Suma de real 2" numFmtId="0" hierarchy="96" level="32767"/>
    <cacheField name="[poblacion_postgrado].[nombre_departamento_padre].[nombre_departamento_padre]" caption="nombre_departamento_padre" numFmtId="0" hierarchy="59" level="1">
      <sharedItems containsSemiMixedTypes="0" containsNonDate="0" containsString="0"/>
    </cacheField>
  </cacheFields>
  <cacheHierarchies count="99">
    <cacheHierarchy uniqueName="[A2020].[ano]" caption="ano" attribute="1" defaultMemberUniqueName="[A2020].[ano].[All]" allUniqueName="[A2020].[ano].[All]" dimensionUniqueName="[A2020]" displayFolder="" count="0" memberValueDatatype="20" unbalanced="0"/>
    <cacheHierarchy uniqueName="[A2020].[mes]" caption="mes" attribute="1" defaultMemberUniqueName="[A2020].[mes].[All]" allUniqueName="[A2020].[mes].[All]" dimensionUniqueName="[A2020]" displayFolder="" count="0" memberValueDatatype="20" unbalanced="0"/>
    <cacheHierarchy uniqueName="[A2020].[cuenta_ppto]" caption="cuenta_ppto" attribute="1" defaultMemberUniqueName="[A2020].[cuenta_ppto].[All]" allUniqueName="[A2020].[cuenta_ppto].[All]" dimensionUniqueName="[A2020]" displayFolder="" count="0" memberValueDatatype="130" unbalanced="0"/>
    <cacheHierarchy uniqueName="[A2020].[nombre_cuenta]" caption="nombre_cuenta" attribute="1" defaultMemberUniqueName="[A2020].[nombre_cuenta].[All]" allUniqueName="[A2020].[nombre_cuenta].[All]" dimensionUniqueName="[A2020]" displayFolder="" count="0" memberValueDatatype="130" unbalanced="0"/>
    <cacheHierarchy uniqueName="[A2020].[grupo_cuenta]" caption="grupo_cuenta" attribute="1" defaultMemberUniqueName="[A2020].[grupo_cuenta].[All]" allUniqueName="[A2020].[grupo_cuenta].[All]" dimensionUniqueName="[A2020]" displayFolder="" count="0" memberValueDatatype="130" unbalanced="0"/>
    <cacheHierarchy uniqueName="[A2020].[grupo_analisis]" caption="grupo_analisis" attribute="1" defaultMemberUniqueName="[A2020].[grupo_analisis].[All]" allUniqueName="[A2020].[grupo_analisis].[All]" dimensionUniqueName="[A2020]" displayFolder="" count="0" memberValueDatatype="130" unbalanced="0"/>
    <cacheHierarchy uniqueName="[A2020].[valor]" caption="valor" attribute="1" defaultMemberUniqueName="[A2020].[valor].[All]" allUniqueName="[A2020].[valor].[All]" dimensionUniqueName="[A2020]" displayFolder="" count="0" memberValueDatatype="5" unbalanced="0"/>
    <cacheHierarchy uniqueName="[A2020].[informacion]" caption="informacion" attribute="1" defaultMemberUniqueName="[A2020].[informacion].[All]" allUniqueName="[A2020].[informacion].[All]" dimensionUniqueName="[A2020]" displayFolder="" count="0" memberValueDatatype="130" unbalanced="0"/>
    <cacheHierarchy uniqueName="[A2020].[departamento_padre]" caption="departamento_padre" attribute="1" defaultMemberUniqueName="[A2020].[departamento_padre].[All]" allUniqueName="[A2020].[departamento_padre].[All]" dimensionUniqueName="[A2020]" displayFolder="" count="0" memberValueDatatype="130" unbalanced="0"/>
    <cacheHierarchy uniqueName="[A2020].[departamento_hijo]" caption="departamento_hijo" attribute="1" defaultMemberUniqueName="[A2020].[departamento_hijo].[All]" allUniqueName="[A2020].[departamento_hijo].[All]" dimensionUniqueName="[A2020]" displayFolder="" count="0" memberValueDatatype="130" unbalanced="0"/>
    <cacheHierarchy uniqueName="[A2020].[departamento_jerarquia1]" caption="departamento_jerarquia1" attribute="1" defaultMemberUniqueName="[A2020].[departamento_jerarquia1].[All]" allUniqueName="[A2020].[departamento_jerarquia1].[All]" dimensionUniqueName="[A2020]" displayFolder="" count="0" memberValueDatatype="130" unbalanced="0"/>
    <cacheHierarchy uniqueName="[A2020].[departamento_jerarquia2]" caption="departamento_jerarquia2" attribute="1" defaultMemberUniqueName="[A2020].[departamento_jerarquia2].[All]" allUniqueName="[A2020].[departamento_jerarquia2].[All]" dimensionUniqueName="[A2020]" displayFolder="" count="0" memberValueDatatype="130" unbalanced="0"/>
    <cacheHierarchy uniqueName="[A2020].[nombre_departamento_padre]" caption="nombre_departamento_padre" attribute="1" defaultMemberUniqueName="[A2020].[nombre_departamento_padre].[All]" allUniqueName="[A2020].[nombre_departamento_padre].[All]" dimensionUniqueName="[A2020]" displayFolder="" count="0" memberValueDatatype="130" unbalanced="0"/>
    <cacheHierarchy uniqueName="[A2020].[numero_nivel]" caption="numero_nivel" attribute="1" defaultMemberUniqueName="[A2020].[numero_nivel].[All]" allUniqueName="[A2020].[numero_nivel].[All]" dimensionUniqueName="[A2020]" displayFolder="" count="0" memberValueDatatype="20" unbalanced="0"/>
    <cacheHierarchy uniqueName="[A2020].[nombre_departamento_hijo]" caption="nombre_departamento_hijo" attribute="1" defaultMemberUniqueName="[A2020].[nombre_departamento_hijo].[All]" allUniqueName="[A2020].[nombre_departamento_hijo].[All]" dimensionUniqueName="[A2020]" displayFolder="" count="0" memberValueDatatype="130" unbalanced="0"/>
    <cacheHierarchy uniqueName="[A2020].[proyecto]" caption="proyecto" attribute="1" defaultMemberUniqueName="[A2020].[proyecto].[All]" allUniqueName="[A2020].[proyecto].[All]" dimensionUniqueName="[A2020]" displayFolder="" count="0" memberValueDatatype="130" unbalanced="0"/>
    <cacheHierarchy uniqueName="[A2020].[grupo_jerarquia]" caption="grupo_jerarquia" attribute="1" defaultMemberUniqueName="[A2020].[grupo_jerarquia].[All]" allUniqueName="[A2020].[grupo_jerarquia].[All]" dimensionUniqueName="[A2020]" displayFolder="" count="0" memberValueDatatype="130" unbalanced="0"/>
    <cacheHierarchy uniqueName="[A2020].[nombre_grupo_jerarquia]" caption="nombre_grupo_jerarquia" attribute="1" defaultMemberUniqueName="[A2020].[nombre_grupo_jerarquia].[All]" allUniqueName="[A2020].[nombre_grupo_jerarquia].[All]" dimensionUniqueName="[A2020]" displayFolder="" count="0" memberValueDatatype="130" unbalanced="0"/>
    <cacheHierarchy uniqueName="[A2020].[tipo_cuenta]" caption="tipo_cuenta" attribute="1" defaultMemberUniqueName="[A2020].[tipo_cuenta].[All]" allUniqueName="[A2020].[tipo_cuenta].[All]" dimensionUniqueName="[A2020]" displayFolder="" count="0" memberValueDatatype="130" unbalanced="0"/>
    <cacheHierarchy uniqueName="[A2020].[nombre_tipo_cuenta]" caption="nombre_tipo_cuenta" attribute="1" defaultMemberUniqueName="[A2020].[nombre_tipo_cuenta].[All]" allUniqueName="[A2020].[nombre_tipo_cuenta].[All]" dimensionUniqueName="[A2020]" displayFolder="" count="0" memberValueDatatype="130" unbalanced="0"/>
    <cacheHierarchy uniqueName="[A2020].[tipo_unidad]" caption="tipo_unidad" attribute="1" defaultMemberUniqueName="[A2020].[tipo_unidad].[All]" allUniqueName="[A2020].[tipo_unidad].[All]" dimensionUniqueName="[A2020]" displayFolder="" count="0" memberValueDatatype="130" unbalanced="0"/>
    <cacheHierarchy uniqueName="[A2020].[nombre_tipo_unidad]" caption="nombre_tipo_unidad" attribute="1" defaultMemberUniqueName="[A2020].[nombre_tipo_unidad].[All]" allUniqueName="[A2020].[nombre_tipo_unidad].[All]" dimensionUniqueName="[A2020]" displayFolder="" count="0" memberValueDatatype="130" unbalanced="0"/>
    <cacheHierarchy uniqueName="[A2020].[tipo_programa]" caption="tipo_programa" attribute="1" defaultMemberUniqueName="[A2020].[tipo_programa].[All]" allUniqueName="[A2020].[tipo_programa].[All]" dimensionUniqueName="[A2020]" displayFolder="" count="0" memberValueDatatype="130" unbalanced="0"/>
    <cacheHierarchy uniqueName="[A2020].[nombre_tipo_programa]" caption="nombre_tipo_programa" attribute="1" defaultMemberUniqueName="[A2020].[nombre_tipo_programa].[All]" allUniqueName="[A2020].[nombre_tipo_programa].[All]" dimensionUniqueName="[A2020]" displayFolder="" count="0" memberValueDatatype="130" unbalanced="0"/>
    <cacheHierarchy uniqueName="[A2020].[nombre_metodologia]" caption="nombre_metodologia" attribute="1" defaultMemberUniqueName="[A2020].[nombre_metodologia].[All]" allUniqueName="[A2020].[nombre_metodologia].[All]" dimensionUniqueName="[A2020]" displayFolder="" count="0" memberValueDatatype="130" unbalanced="0"/>
    <cacheHierarchy uniqueName="[A2020].[tipo_departamento]" caption="tipo_departamento" attribute="1" defaultMemberUniqueName="[A2020].[tipo_departamento].[All]" allUniqueName="[A2020].[tipo_departamento].[All]" dimensionUniqueName="[A2020]" displayFolder="" count="0" memberValueDatatype="130" unbalanced="0"/>
    <cacheHierarchy uniqueName="[A2020].[horizonte]" caption="horizonte" attribute="1" defaultMemberUniqueName="[A2020].[horizonte].[All]" allUniqueName="[A2020].[horizonte].[All]" dimensionUniqueName="[A2020]" displayFolder="" count="0" memberValueDatatype="130" unbalanced="0"/>
    <cacheHierarchy uniqueName="[IF].[ano]" caption="ano" attribute="1" defaultMemberUniqueName="[IF].[ano].[All]" allUniqueName="[IF].[ano].[All]" dimensionUniqueName="[IF]" displayFolder="" count="0" memberValueDatatype="20" unbalanced="0"/>
    <cacheHierarchy uniqueName="[IF].[mes]" caption="mes" attribute="1" defaultMemberUniqueName="[IF].[mes].[All]" allUniqueName="[IF].[mes].[All]" dimensionUniqueName="[IF]" displayFolder="" count="0" memberValueDatatype="20" unbalanced="0"/>
    <cacheHierarchy uniqueName="[IF].[cuenta_ppto]" caption="cuenta_ppto" attribute="1" defaultMemberUniqueName="[IF].[cuenta_ppto].[All]" allUniqueName="[IF].[cuenta_ppto].[All]" dimensionUniqueName="[IF]" displayFolder="" count="0" memberValueDatatype="130" unbalanced="0"/>
    <cacheHierarchy uniqueName="[IF].[nombre_cuenta]" caption="nombre_cuenta" attribute="1" defaultMemberUniqueName="[IF].[nombre_cuenta].[All]" allUniqueName="[IF].[nombre_cuenta].[All]" dimensionUniqueName="[IF]" displayFolder="" count="0" memberValueDatatype="130" unbalanced="0"/>
    <cacheHierarchy uniqueName="[IF].[grupo_cuenta]" caption="grupo_cuenta" attribute="1" defaultMemberUniqueName="[IF].[grupo_cuenta].[All]" allUniqueName="[IF].[grupo_cuenta].[All]" dimensionUniqueName="[IF]" displayFolder="" count="0" memberValueDatatype="130" unbalanced="0"/>
    <cacheHierarchy uniqueName="[IF].[grupo_analisis]" caption="grupo_analisis" attribute="1" defaultMemberUniqueName="[IF].[grupo_analisis].[All]" allUniqueName="[IF].[grupo_analisis].[All]" dimensionUniqueName="[IF]" displayFolder="" count="0" memberValueDatatype="130" unbalanced="0"/>
    <cacheHierarchy uniqueName="[IF].[valor]" caption="valor" attribute="1" defaultMemberUniqueName="[IF].[valor].[All]" allUniqueName="[IF].[valor].[All]" dimensionUniqueName="[IF]" displayFolder="" count="0" memberValueDatatype="5" unbalanced="0"/>
    <cacheHierarchy uniqueName="[IF].[informacion]" caption="informacion" attribute="1" defaultMemberUniqueName="[IF].[informacion].[All]" allUniqueName="[IF].[informacion].[All]" dimensionUniqueName="[IF]" displayFolder="" count="0" memberValueDatatype="130" unbalanced="0"/>
    <cacheHierarchy uniqueName="[IF].[departamento_padre]" caption="departamento_padre" attribute="1" defaultMemberUniqueName="[IF].[departamento_padre].[All]" allUniqueName="[IF].[departamento_padre].[All]" dimensionUniqueName="[IF]" displayFolder="" count="0" memberValueDatatype="130" unbalanced="0"/>
    <cacheHierarchy uniqueName="[IF].[departamento_hijo]" caption="departamento_hijo" attribute="1" defaultMemberUniqueName="[IF].[departamento_hijo].[All]" allUniqueName="[IF].[departamento_hijo].[All]" dimensionUniqueName="[IF]" displayFolder="" count="0" memberValueDatatype="130" unbalanced="0"/>
    <cacheHierarchy uniqueName="[IF].[departamento_jerarquia1]" caption="departamento_jerarquia1" attribute="1" defaultMemberUniqueName="[IF].[departamento_jerarquia1].[All]" allUniqueName="[IF].[departamento_jerarquia1].[All]" dimensionUniqueName="[IF]" displayFolder="" count="0" memberValueDatatype="130" unbalanced="0"/>
    <cacheHierarchy uniqueName="[IF].[departamento_jerarquia2]" caption="departamento_jerarquia2" attribute="1" defaultMemberUniqueName="[IF].[departamento_jerarquia2].[All]" allUniqueName="[IF].[departamento_jerarquia2].[All]" dimensionUniqueName="[IF]" displayFolder="" count="0" memberValueDatatype="130" unbalanced="0"/>
    <cacheHierarchy uniqueName="[IF].[nombre_departamento_padre]" caption="nombre_departamento_padre" attribute="1" defaultMemberUniqueName="[IF].[nombre_departamento_padre].[All]" allUniqueName="[IF].[nombre_departamento_padre].[All]" dimensionUniqueName="[IF]" displayFolder="" count="0" memberValueDatatype="130" unbalanced="0"/>
    <cacheHierarchy uniqueName="[IF].[numero_nivel]" caption="numero_nivel" attribute="1" defaultMemberUniqueName="[IF].[numero_nivel].[All]" allUniqueName="[IF].[numero_nivel].[All]" dimensionUniqueName="[IF]" displayFolder="" count="0" memberValueDatatype="20" unbalanced="0"/>
    <cacheHierarchy uniqueName="[IF].[nombre_departamento_hijo]" caption="nombre_departamento_hijo" attribute="1" defaultMemberUniqueName="[IF].[nombre_departamento_hijo].[All]" allUniqueName="[IF].[nombre_departamento_hijo].[All]" dimensionUniqueName="[IF]" displayFolder="" count="0" memberValueDatatype="130" unbalanced="0"/>
    <cacheHierarchy uniqueName="[IF].[proyecto]" caption="proyecto" attribute="1" defaultMemberUniqueName="[IF].[proyecto].[All]" allUniqueName="[IF].[proyecto].[All]" dimensionUniqueName="[IF]" displayFolder="" count="0" memberValueDatatype="130" unbalanced="0"/>
    <cacheHierarchy uniqueName="[IF].[grupo_jerarquia]" caption="grupo_jerarquia" attribute="1" defaultMemberUniqueName="[IF].[grupo_jerarquia].[All]" allUniqueName="[IF].[grupo_jerarquia].[All]" dimensionUniqueName="[IF]" displayFolder="" count="0" memberValueDatatype="130" unbalanced="0"/>
    <cacheHierarchy uniqueName="[IF].[nombre_grupo_jerarquia]" caption="nombre_grupo_jerarquia" attribute="1" defaultMemberUniqueName="[IF].[nombre_grupo_jerarquia].[All]" allUniqueName="[IF].[nombre_grupo_jerarquia].[All]" dimensionUniqueName="[IF]" displayFolder="" count="0" memberValueDatatype="130" unbalanced="0"/>
    <cacheHierarchy uniqueName="[IF].[tipo_cuenta]" caption="tipo_cuenta" attribute="1" defaultMemberUniqueName="[IF].[tipo_cuenta].[All]" allUniqueName="[IF].[tipo_cuenta].[All]" dimensionUniqueName="[IF]" displayFolder="" count="0" memberValueDatatype="130" unbalanced="0"/>
    <cacheHierarchy uniqueName="[IF].[nombre_tipo_cuenta]" caption="nombre_tipo_cuenta" attribute="1" defaultMemberUniqueName="[IF].[nombre_tipo_cuenta].[All]" allUniqueName="[IF].[nombre_tipo_cuenta].[All]" dimensionUniqueName="[IF]" displayFolder="" count="0" memberValueDatatype="130" unbalanced="0"/>
    <cacheHierarchy uniqueName="[IF].[tipo_unidad]" caption="tipo_unidad" attribute="1" defaultMemberUniqueName="[IF].[tipo_unidad].[All]" allUniqueName="[IF].[tipo_unidad].[All]" dimensionUniqueName="[IF]" displayFolder="" count="0" memberValueDatatype="130" unbalanced="0"/>
    <cacheHierarchy uniqueName="[IF].[nombre_tipo_unidad]" caption="nombre_tipo_unidad" attribute="1" defaultMemberUniqueName="[IF].[nombre_tipo_unidad].[All]" allUniqueName="[IF].[nombre_tipo_unidad].[All]" dimensionUniqueName="[IF]" displayFolder="" count="0" memberValueDatatype="130" unbalanced="0"/>
    <cacheHierarchy uniqueName="[IF].[tipo_programa]" caption="tipo_programa" attribute="1" defaultMemberUniqueName="[IF].[tipo_programa].[All]" allUniqueName="[IF].[tipo_programa].[All]" dimensionUniqueName="[IF]" displayFolder="" count="0" memberValueDatatype="130" unbalanced="0"/>
    <cacheHierarchy uniqueName="[IF].[nombre_tipo_programa]" caption="nombre_tipo_programa" attribute="1" defaultMemberUniqueName="[IF].[nombre_tipo_programa].[All]" allUniqueName="[IF].[nombre_tipo_programa].[All]" dimensionUniqueName="[IF]" displayFolder="" count="0" memberValueDatatype="130" unbalanced="0"/>
    <cacheHierarchy uniqueName="[IF].[nombre_metodologia]" caption="nombre_metodologia" attribute="1" defaultMemberUniqueName="[IF].[nombre_metodologia].[All]" allUniqueName="[IF].[nombre_metodologia].[All]" dimensionUniqueName="[IF]" displayFolder="" count="0" memberValueDatatype="130" unbalanced="0"/>
    <cacheHierarchy uniqueName="[IF].[tipo_departamento]" caption="tipo_departamento" attribute="1" defaultMemberUniqueName="[IF].[tipo_departamento].[All]" allUniqueName="[IF].[tipo_departamento].[All]" dimensionUniqueName="[IF]" displayFolder="" count="0" memberValueDatatype="130" unbalanced="0"/>
    <cacheHierarchy uniqueName="[IF].[horizonte]" caption="horizonte" attribute="1" defaultMemberUniqueName="[IF].[horizonte].[All]" allUniqueName="[IF].[horizonte].[All]" dimensionUniqueName="[IF]" displayFolder="" count="0" memberValueDatatype="130" unbalanced="0"/>
    <cacheHierarchy uniqueName="[poblacion_postgrado].[ano]" caption="ano" attribute="1" defaultMemberUniqueName="[poblacion_postgrado].[ano].[All]" allUniqueName="[poblacion_postgrado].[ano].[All]" dimensionUniqueName="[poblacion_postgrado]" displayFolder="" count="2" memberValueDatatype="20" unbalanced="0">
      <fieldsUsage count="2">
        <fieldUsage x="-1"/>
        <fieldUsage x="0"/>
      </fieldsUsage>
    </cacheHierarchy>
    <cacheHierarchy uniqueName="[poblacion_postgrado].[periodo]" caption="periodo" attribute="1" defaultMemberUniqueName="[poblacion_postgrado].[periodo].[All]" allUniqueName="[poblacion_postgrado].[periodo].[All]" dimensionUniqueName="[poblacion_postgrado]" displayFolder="" count="0" memberValueDatatype="130" unbalanced="0"/>
    <cacheHierarchy uniqueName="[poblacion_postgrado].[semestre]" caption="semestre" attribute="1" defaultMemberUniqueName="[poblacion_postgrado].[semestre].[All]" allUniqueName="[poblacion_postgrado].[semestre].[All]" dimensionUniqueName="[poblacion_postgrado]" displayFolder="" count="2" memberValueDatatype="20" unbalanced="0">
      <fieldsUsage count="2">
        <fieldUsage x="-1"/>
        <fieldUsage x="1"/>
      </fieldsUsage>
    </cacheHierarchy>
    <cacheHierarchy uniqueName="[poblacion_postgrado].[fecha]" caption="fecha" attribute="1" defaultMemberUniqueName="[poblacion_postgrado].[fecha].[All]" allUniqueName="[poblacion_postgrado].[fecha].[All]" dimensionUniqueName="[poblacion_postgrado]" displayFolder="" count="0" memberValueDatatype="130" unbalanced="0"/>
    <cacheHierarchy uniqueName="[poblacion_postgrado].[departamento_padre]" caption="departamento_padre" attribute="1" defaultMemberUniqueName="[poblacion_postgrado].[departamento_padre].[All]" allUniqueName="[poblacion_postgrado].[departamento_padre].[All]" dimensionUniqueName="[poblacion_postgrado]" displayFolder="" count="0" memberValueDatatype="130" unbalanced="0"/>
    <cacheHierarchy uniqueName="[poblacion_postgrado].[nombre_departamento_padre]" caption="nombre_departamento_padre" attribute="1" defaultMemberUniqueName="[poblacion_postgrado].[nombre_departamento_padre].[All]" allUniqueName="[poblacion_postgrado].[nombre_departamento_padre].[All]" dimensionUniqueName="[poblacion_postgrado]" displayFolder="" count="2" memberValueDatatype="130" unbalanced="0">
      <fieldsUsage count="2">
        <fieldUsage x="-1"/>
        <fieldUsage x="4"/>
      </fieldsUsage>
    </cacheHierarchy>
    <cacheHierarchy uniqueName="[poblacion_postgrado].[departamento]" caption="departamento" attribute="1" defaultMemberUniqueName="[poblacion_postgrado].[departamento].[All]" allUniqueName="[poblacion_postgrado].[departamento].[All]" dimensionUniqueName="[poblacion_postgrado]" displayFolder="" count="0" memberValueDatatype="130" unbalanced="0"/>
    <cacheHierarchy uniqueName="[poblacion_postgrado].[nombre_departamento_hijo]" caption="nombre_departamento_hijo" attribute="1" defaultMemberUniqueName="[poblacion_postgrado].[nombre_departamento_hijo].[All]" allUniqueName="[poblacion_postgrado].[nombre_departamento_hijo].[All]" dimensionUniqueName="[poblacion_postgrado]" displayFolder="" count="2" memberValueDatatype="130" unbalanced="0">
      <fieldsUsage count="2">
        <fieldUsage x="-1"/>
        <fieldUsage x="2"/>
      </fieldsUsage>
    </cacheHierarchy>
    <cacheHierarchy uniqueName="[poblacion_postgrado].[tipo_programa]" caption="tipo_programa" attribute="1" defaultMemberUniqueName="[poblacion_postgrado].[tipo_programa].[All]" allUniqueName="[poblacion_postgrado].[tipo_programa].[All]" dimensionUniqueName="[poblacion_postgrado]" displayFolder="" count="0" memberValueDatatype="130" unbalanced="0"/>
    <cacheHierarchy uniqueName="[poblacion_postgrado].[nombre_tipo_programa]" caption="nombre_tipo_programa" attribute="1" defaultMemberUniqueName="[poblacion_postgrado].[nombre_tipo_programa].[All]" allUniqueName="[poblacion_postgrado].[nombre_tipo_programa].[All]" dimensionUniqueName="[poblacion_postgrado]" displayFolder="" count="0" memberValueDatatype="130" unbalanced="0"/>
    <cacheHierarchy uniqueName="[poblacion_postgrado].[nombre_metodologia]" caption="nombre_metodologia" attribute="1" defaultMemberUniqueName="[poblacion_postgrado].[nombre_metodologia].[All]" allUniqueName="[poblacion_postgrado].[nombre_metodologia].[All]" dimensionUniqueName="[poblacion_postgrado]" displayFolder="" count="0" memberValueDatatype="130" unbalanced="0"/>
    <cacheHierarchy uniqueName="[poblacion_postgrado].[ppto_nuevos]" caption="ppto_nuevos" attribute="1" defaultMemberUniqueName="[poblacion_postgrado].[ppto_nuevos].[All]" allUniqueName="[poblacion_postgrado].[ppto_nuevos].[All]" dimensionUniqueName="[poblacion_postgrado]" displayFolder="" count="0" memberValueDatatype="20" unbalanced="0"/>
    <cacheHierarchy uniqueName="[poblacion_postgrado].[ppto_antiguos]" caption="ppto_antiguos" attribute="1" defaultMemberUniqueName="[poblacion_postgrado].[ppto_antiguos].[All]" allUniqueName="[poblacion_postgrado].[ppto_antiguos].[All]" dimensionUniqueName="[poblacion_postgrado]" displayFolder="" count="0" memberValueDatatype="20" unbalanced="0"/>
    <cacheHierarchy uniqueName="[poblacion_postgrado].[real_nuevos]" caption="real_nuevos" attribute="1" defaultMemberUniqueName="[poblacion_postgrado].[real_nuevos].[All]" allUniqueName="[poblacion_postgrado].[real_nuevos].[All]" dimensionUniqueName="[poblacion_postgrado]" displayFolder="" count="0" memberValueDatatype="20" unbalanced="0"/>
    <cacheHierarchy uniqueName="[poblacion_postgrado].[real_antiguos]" caption="real_antiguos" attribute="1" defaultMemberUniqueName="[poblacion_postgrado].[real_antiguos].[All]" allUniqueName="[poblacion_postgrado].[real_antiguos].[All]" dimensionUniqueName="[poblacion_postgrado]" displayFolder="" count="0" memberValueDatatype="20" unbalanced="0"/>
    <cacheHierarchy uniqueName="[poblacion_postgrado].[ppto]" caption="ppto" attribute="1" defaultMemberUniqueName="[poblacion_postgrado].[ppto].[All]" allUniqueName="[poblacion_postgrado].[ppto].[All]" dimensionUniqueName="[poblacion_postgrado]" displayFolder="" count="0" memberValueDatatype="20" unbalanced="0"/>
    <cacheHierarchy uniqueName="[poblacion_postgrado].[real]" caption="real" attribute="1" defaultMemberUniqueName="[poblacion_postgrado].[real].[All]" allUniqueName="[poblacion_postgrado].[real].[All]" dimensionUniqueName="[poblacion_postgrado]" displayFolder="" count="0" memberValueDatatype="20" unbalanced="0"/>
    <cacheHierarchy uniqueName="[poblacion_postgrado].[diferencia]" caption="diferencia" attribute="1" defaultMemberUniqueName="[poblacion_postgrado].[diferencia].[All]" allUniqueName="[poblacion_postgrado].[diferencia].[All]" dimensionUniqueName="[poblacion_postgrado]" displayFolder="" count="0" memberValueDatatype="20" unbalanced="0"/>
    <cacheHierarchy uniqueName="[poblacion_pregrado].[ano]" caption="ano" attribute="1" defaultMemberUniqueName="[poblacion_pregrado].[ano].[All]" allUniqueName="[poblacion_pregrado].[ano].[All]" dimensionUniqueName="[poblacion_pregrado]" displayFolder="" count="0" memberValueDatatype="20" unbalanced="0"/>
    <cacheHierarchy uniqueName="[poblacion_pregrado].[periodo]" caption="periodo" attribute="1" defaultMemberUniqueName="[poblacion_pregrado].[periodo].[All]" allUniqueName="[poblacion_pregrado].[periodo].[All]" dimensionUniqueName="[poblacion_pregrado]" displayFolder="" count="0" memberValueDatatype="130" unbalanced="0"/>
    <cacheHierarchy uniqueName="[poblacion_pregrado].[semestre]" caption="semestre" attribute="1" defaultMemberUniqueName="[poblacion_pregrado].[semestre].[All]" allUniqueName="[poblacion_pregrado].[semestre].[All]" dimensionUniqueName="[poblacion_pregrado]" displayFolder="" count="0" memberValueDatatype="20" unbalanced="0"/>
    <cacheHierarchy uniqueName="[poblacion_pregrado].[departamento_padre]" caption="departamento_padre" attribute="1" defaultMemberUniqueName="[poblacion_pregrado].[departamento_padre].[All]" allUniqueName="[poblacion_pregrado].[departamento_padre].[All]" dimensionUniqueName="[poblacion_pregrado]" displayFolder="" count="0" memberValueDatatype="130" unbalanced="0"/>
    <cacheHierarchy uniqueName="[poblacion_pregrado].[nombre_departamento_padre]" caption="nombre_departamento_padre" attribute="1" defaultMemberUniqueName="[poblacion_pregrado].[nombre_departamento_padre].[All]" allUniqueName="[poblacion_pregrado].[nombre_departamento_padre].[All]" dimensionUniqueName="[poblacion_pregrado]" displayFolder="" count="0" memberValueDatatype="130" unbalanced="0"/>
    <cacheHierarchy uniqueName="[poblacion_pregrado].[departamento]" caption="departamento" attribute="1" defaultMemberUniqueName="[poblacion_pregrado].[departamento].[All]" allUniqueName="[poblacion_pregrado].[departamento].[All]" dimensionUniqueName="[poblacion_pregrado]" displayFolder="" count="0" memberValueDatatype="130" unbalanced="0"/>
    <cacheHierarchy uniqueName="[poblacion_pregrado].[nombre_departamento_hijo]" caption="nombre_departamento_hijo" attribute="1" defaultMemberUniqueName="[poblacion_pregrado].[nombre_departamento_hijo].[All]" allUniqueName="[poblacion_pregrado].[nombre_departamento_hijo].[All]" dimensionUniqueName="[poblacion_pregrado]" displayFolder="" count="0" memberValueDatatype="130" unbalanced="0"/>
    <cacheHierarchy uniqueName="[poblacion_pregrado].[nombre_tipo_estudiante]" caption="nombre_tipo_estudiante" attribute="1" defaultMemberUniqueName="[poblacion_pregrado].[nombre_tipo_estudiante].[All]" allUniqueName="[poblacion_pregrado].[nombre_tipo_estudiante].[All]" dimensionUniqueName="[poblacion_pregrado]" displayFolder="" count="0" memberValueDatatype="130" unbalanced="0"/>
    <cacheHierarchy uniqueName="[poblacion_pregrado].[ppto_nuevos]" caption="ppto_nuevos" attribute="1" defaultMemberUniqueName="[poblacion_pregrado].[ppto_nuevos].[All]" allUniqueName="[poblacion_pregrado].[ppto_nuevos].[All]" dimensionUniqueName="[poblacion_pregrado]" displayFolder="" count="0" memberValueDatatype="5" unbalanced="0"/>
    <cacheHierarchy uniqueName="[poblacion_pregrado].[ppto_antiguos]" caption="ppto_antiguos" attribute="1" defaultMemberUniqueName="[poblacion_pregrado].[ppto_antiguos].[All]" allUniqueName="[poblacion_pregrado].[ppto_antiguos].[All]" dimensionUniqueName="[poblacion_pregrado]" displayFolder="" count="0" memberValueDatatype="5" unbalanced="0"/>
    <cacheHierarchy uniqueName="[poblacion_pregrado].[real_nuevos]" caption="real_nuevos" attribute="1" defaultMemberUniqueName="[poblacion_pregrado].[real_nuevos].[All]" allUniqueName="[poblacion_pregrado].[real_nuevos].[All]" dimensionUniqueName="[poblacion_pregrado]" displayFolder="" count="0" memberValueDatatype="5" unbalanced="0"/>
    <cacheHierarchy uniqueName="[poblacion_pregrado].[real_antiguos]" caption="real_antiguos" attribute="1" defaultMemberUniqueName="[poblacion_pregrado].[real_antiguos].[All]" allUniqueName="[poblacion_pregrado].[real_antiguos].[All]" dimensionUniqueName="[poblacion_pregrado]" displayFolder="" count="0" memberValueDatatype="5" unbalanced="0"/>
    <cacheHierarchy uniqueName="[poblacion_pregrado].[ppto]" caption="ppto" attribute="1" defaultMemberUniqueName="[poblacion_pregrado].[ppto].[All]" allUniqueName="[poblacion_pregrado].[ppto].[All]" dimensionUniqueName="[poblacion_pregrado]" displayFolder="" count="0" memberValueDatatype="5" unbalanced="0"/>
    <cacheHierarchy uniqueName="[poblacion_pregrado].[real]" caption="real" attribute="1" defaultMemberUniqueName="[poblacion_pregrado].[real].[All]" allUniqueName="[poblacion_pregrado].[real].[All]" dimensionUniqueName="[poblacion_pregrado]" displayFolder="" count="0" memberValueDatatype="5" unbalanced="0"/>
    <cacheHierarchy uniqueName="[poblacion_pregrado].[diferencia]" caption="diferencia" attribute="1" defaultMemberUniqueName="[poblacion_pregrado].[diferencia].[All]" allUniqueName="[poblacion_pregrado].[diferencia].[All]" dimensionUniqueName="[poblacion_pregrado]" displayFolder="" count="0" memberValueDatatype="5" unbalanced="0"/>
    <cacheHierarchy uniqueName="[Measures].[__XL_Count A2020]" caption="__XL_Count A2020" measure="1" displayFolder="" measureGroup="A2020" count="0" hidden="1"/>
    <cacheHierarchy uniqueName="[Measures].[__XL_Count IF]" caption="__XL_Count IF" measure="1" displayFolder="" measureGroup="IF" count="0" hidden="1"/>
    <cacheHierarchy uniqueName="[Measures].[__XL_Count poblacion_pregrado]" caption="__XL_Count poblacion_pregrado" measure="1" displayFolder="" measureGroup="poblacion_pregrado" count="0" hidden="1"/>
    <cacheHierarchy uniqueName="[Measures].[__XL_Count poblacion_postgrado]" caption="__XL_Count poblacion_postgrado" measure="1" displayFolder="" measureGroup="poblacion_postgrado" count="0" hidden="1"/>
    <cacheHierarchy uniqueName="[Measures].[__No measures defined]" caption="__No measures defined" measure="1" displayFolder="" count="0" hidden="1"/>
    <cacheHierarchy uniqueName="[Measures].[Suma de valor]" caption="Suma de valor" measure="1" displayFolder="" measureGroup="IF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real]" caption="Suma de real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al_nuevos]" caption="Suma de real_nuev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real_antiguos]" caption="Suma de real_antigu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real 2]" caption="Suma de real 2" measure="1" displayFolder="" measureGroup="poblacion_postgrado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eal_nuevos 2]" caption="Suma de real_nuev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real_antiguos 2]" caption="Suma de real_antigu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</cacheHierarchies>
  <kpis count="0"/>
  <dimensions count="5">
    <dimension name="A2020" uniqueName="[A2020]" caption="A2020"/>
    <dimension name="IF" uniqueName="[IF]" caption="IF"/>
    <dimension measure="1" name="Measures" uniqueName="[Measures]" caption="Measures"/>
    <dimension name="poblacion_postgrado" uniqueName="[poblacion_postgrado]" caption="poblacion_postgrado"/>
    <dimension name="poblacion_pregrado" uniqueName="[poblacion_pregrado]" caption="poblacion_pregrado"/>
  </dimensions>
  <measureGroups count="4">
    <measureGroup name="A2020" caption="A2020"/>
    <measureGroup name="IF" caption="IF"/>
    <measureGroup name="poblacion_postgrado" caption="poblacion_postgrado"/>
    <measureGroup name="poblacion_pregrado" caption="poblacion_pregrado"/>
  </measureGroups>
  <maps count="4">
    <map measureGroup="0" dimension="0"/>
    <map measureGroup="1" dimension="1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los Alberto Ceballos Gutierrez" refreshedDate="44383.602846643516" createdVersion="5" refreshedVersion="7" minRefreshableVersion="3" recordCount="0" supportSubquery="1" supportAdvancedDrill="1" xr:uid="{31662DDD-255B-4CD1-B33C-7A261A1D98F1}">
  <cacheSource type="external" connectionId="8"/>
  <cacheFields count="5">
    <cacheField name="[poblacion_postgrado].[ano].[ano]" caption="ano" numFmtId="0" hierarchy="54" level="1">
      <sharedItems containsSemiMixedTypes="0" containsString="0" containsNumber="1" containsInteger="1" minValue="2018" maxValue="2021" count="4"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oblacion_postgrado].[ano].&amp;[2018]"/>
            <x15:cachedUniqueName index="1" name="[poblacion_postgrado].[ano].&amp;[2019]"/>
            <x15:cachedUniqueName index="2" name="[poblacion_postgrado].[ano].&amp;[2020]"/>
            <x15:cachedUniqueName index="3" name="[poblacion_postgrado].[ano].&amp;[2021]"/>
          </x15:cachedUniqueNames>
        </ext>
      </extLst>
    </cacheField>
    <cacheField name="[poblacion_postgrado].[semestre].[semestre]" caption="semestre" numFmtId="0" hierarchy="56" level="1">
      <sharedItems containsSemiMixedTypes="0" containsString="0" containsNumber="1" containsInteger="1" minValue="1" maxValue="2" count="2">
        <n v="1"/>
        <n v="2"/>
      </sharedItems>
      <extLst>
        <ext xmlns:x15="http://schemas.microsoft.com/office/spreadsheetml/2010/11/main" uri="{4F2E5C28-24EA-4eb8-9CBF-B6C8F9C3D259}">
          <x15:cachedUniqueNames>
            <x15:cachedUniqueName index="0" name="[poblacion_postgrado].[semestre].&amp;[1]"/>
            <x15:cachedUniqueName index="1" name="[poblacion_postgrado].[semestre].&amp;[2]"/>
          </x15:cachedUniqueNames>
        </ext>
      </extLst>
    </cacheField>
    <cacheField name="[poblacion_postgrado].[nombre_departamento_hijo].[nombre_departamento_hijo]" caption="nombre_departamento_hijo" numFmtId="0" hierarchy="61" level="1">
      <sharedItems count="2">
        <s v="ESP DLLO PERSONAL Y FAMILIAR"/>
        <s v="MAE ASESORIA FAMILIAR Y GEST"/>
      </sharedItems>
    </cacheField>
    <cacheField name="[Measures].[Suma de real_nuevos 2]" caption="Suma de real_nuevos 2" numFmtId="0" hierarchy="97" level="32767"/>
    <cacheField name="[poblacion_postgrado].[nombre_departamento_padre].[nombre_departamento_padre]" caption="nombre_departamento_padre" numFmtId="0" hierarchy="59" level="1">
      <sharedItems containsSemiMixedTypes="0" containsNonDate="0" containsString="0"/>
    </cacheField>
  </cacheFields>
  <cacheHierarchies count="99">
    <cacheHierarchy uniqueName="[A2020].[ano]" caption="ano" attribute="1" defaultMemberUniqueName="[A2020].[ano].[All]" allUniqueName="[A2020].[ano].[All]" dimensionUniqueName="[A2020]" displayFolder="" count="0" memberValueDatatype="20" unbalanced="0"/>
    <cacheHierarchy uniqueName="[A2020].[mes]" caption="mes" attribute="1" defaultMemberUniqueName="[A2020].[mes].[All]" allUniqueName="[A2020].[mes].[All]" dimensionUniqueName="[A2020]" displayFolder="" count="0" memberValueDatatype="20" unbalanced="0"/>
    <cacheHierarchy uniqueName="[A2020].[cuenta_ppto]" caption="cuenta_ppto" attribute="1" defaultMemberUniqueName="[A2020].[cuenta_ppto].[All]" allUniqueName="[A2020].[cuenta_ppto].[All]" dimensionUniqueName="[A2020]" displayFolder="" count="0" memberValueDatatype="130" unbalanced="0"/>
    <cacheHierarchy uniqueName="[A2020].[nombre_cuenta]" caption="nombre_cuenta" attribute="1" defaultMemberUniqueName="[A2020].[nombre_cuenta].[All]" allUniqueName="[A2020].[nombre_cuenta].[All]" dimensionUniqueName="[A2020]" displayFolder="" count="0" memberValueDatatype="130" unbalanced="0"/>
    <cacheHierarchy uniqueName="[A2020].[grupo_cuenta]" caption="grupo_cuenta" attribute="1" defaultMemberUniqueName="[A2020].[grupo_cuenta].[All]" allUniqueName="[A2020].[grupo_cuenta].[All]" dimensionUniqueName="[A2020]" displayFolder="" count="0" memberValueDatatype="130" unbalanced="0"/>
    <cacheHierarchy uniqueName="[A2020].[grupo_analisis]" caption="grupo_analisis" attribute="1" defaultMemberUniqueName="[A2020].[grupo_analisis].[All]" allUniqueName="[A2020].[grupo_analisis].[All]" dimensionUniqueName="[A2020]" displayFolder="" count="0" memberValueDatatype="130" unbalanced="0"/>
    <cacheHierarchy uniqueName="[A2020].[valor]" caption="valor" attribute="1" defaultMemberUniqueName="[A2020].[valor].[All]" allUniqueName="[A2020].[valor].[All]" dimensionUniqueName="[A2020]" displayFolder="" count="0" memberValueDatatype="5" unbalanced="0"/>
    <cacheHierarchy uniqueName="[A2020].[informacion]" caption="informacion" attribute="1" defaultMemberUniqueName="[A2020].[informacion].[All]" allUniqueName="[A2020].[informacion].[All]" dimensionUniqueName="[A2020]" displayFolder="" count="0" memberValueDatatype="130" unbalanced="0"/>
    <cacheHierarchy uniqueName="[A2020].[departamento_padre]" caption="departamento_padre" attribute="1" defaultMemberUniqueName="[A2020].[departamento_padre].[All]" allUniqueName="[A2020].[departamento_padre].[All]" dimensionUniqueName="[A2020]" displayFolder="" count="0" memberValueDatatype="130" unbalanced="0"/>
    <cacheHierarchy uniqueName="[A2020].[departamento_hijo]" caption="departamento_hijo" attribute="1" defaultMemberUniqueName="[A2020].[departamento_hijo].[All]" allUniqueName="[A2020].[departamento_hijo].[All]" dimensionUniqueName="[A2020]" displayFolder="" count="0" memberValueDatatype="130" unbalanced="0"/>
    <cacheHierarchy uniqueName="[A2020].[departamento_jerarquia1]" caption="departamento_jerarquia1" attribute="1" defaultMemberUniqueName="[A2020].[departamento_jerarquia1].[All]" allUniqueName="[A2020].[departamento_jerarquia1].[All]" dimensionUniqueName="[A2020]" displayFolder="" count="0" memberValueDatatype="130" unbalanced="0"/>
    <cacheHierarchy uniqueName="[A2020].[departamento_jerarquia2]" caption="departamento_jerarquia2" attribute="1" defaultMemberUniqueName="[A2020].[departamento_jerarquia2].[All]" allUniqueName="[A2020].[departamento_jerarquia2].[All]" dimensionUniqueName="[A2020]" displayFolder="" count="0" memberValueDatatype="130" unbalanced="0"/>
    <cacheHierarchy uniqueName="[A2020].[nombre_departamento_padre]" caption="nombre_departamento_padre" attribute="1" defaultMemberUniqueName="[A2020].[nombre_departamento_padre].[All]" allUniqueName="[A2020].[nombre_departamento_padre].[All]" dimensionUniqueName="[A2020]" displayFolder="" count="0" memberValueDatatype="130" unbalanced="0"/>
    <cacheHierarchy uniqueName="[A2020].[numero_nivel]" caption="numero_nivel" attribute="1" defaultMemberUniqueName="[A2020].[numero_nivel].[All]" allUniqueName="[A2020].[numero_nivel].[All]" dimensionUniqueName="[A2020]" displayFolder="" count="0" memberValueDatatype="20" unbalanced="0"/>
    <cacheHierarchy uniqueName="[A2020].[nombre_departamento_hijo]" caption="nombre_departamento_hijo" attribute="1" defaultMemberUniqueName="[A2020].[nombre_departamento_hijo].[All]" allUniqueName="[A2020].[nombre_departamento_hijo].[All]" dimensionUniqueName="[A2020]" displayFolder="" count="0" memberValueDatatype="130" unbalanced="0"/>
    <cacheHierarchy uniqueName="[A2020].[proyecto]" caption="proyecto" attribute="1" defaultMemberUniqueName="[A2020].[proyecto].[All]" allUniqueName="[A2020].[proyecto].[All]" dimensionUniqueName="[A2020]" displayFolder="" count="0" memberValueDatatype="130" unbalanced="0"/>
    <cacheHierarchy uniqueName="[A2020].[grupo_jerarquia]" caption="grupo_jerarquia" attribute="1" defaultMemberUniqueName="[A2020].[grupo_jerarquia].[All]" allUniqueName="[A2020].[grupo_jerarquia].[All]" dimensionUniqueName="[A2020]" displayFolder="" count="0" memberValueDatatype="130" unbalanced="0"/>
    <cacheHierarchy uniqueName="[A2020].[nombre_grupo_jerarquia]" caption="nombre_grupo_jerarquia" attribute="1" defaultMemberUniqueName="[A2020].[nombre_grupo_jerarquia].[All]" allUniqueName="[A2020].[nombre_grupo_jerarquia].[All]" dimensionUniqueName="[A2020]" displayFolder="" count="0" memberValueDatatype="130" unbalanced="0"/>
    <cacheHierarchy uniqueName="[A2020].[tipo_cuenta]" caption="tipo_cuenta" attribute="1" defaultMemberUniqueName="[A2020].[tipo_cuenta].[All]" allUniqueName="[A2020].[tipo_cuenta].[All]" dimensionUniqueName="[A2020]" displayFolder="" count="0" memberValueDatatype="130" unbalanced="0"/>
    <cacheHierarchy uniqueName="[A2020].[nombre_tipo_cuenta]" caption="nombre_tipo_cuenta" attribute="1" defaultMemberUniqueName="[A2020].[nombre_tipo_cuenta].[All]" allUniqueName="[A2020].[nombre_tipo_cuenta].[All]" dimensionUniqueName="[A2020]" displayFolder="" count="0" memberValueDatatype="130" unbalanced="0"/>
    <cacheHierarchy uniqueName="[A2020].[tipo_unidad]" caption="tipo_unidad" attribute="1" defaultMemberUniqueName="[A2020].[tipo_unidad].[All]" allUniqueName="[A2020].[tipo_unidad].[All]" dimensionUniqueName="[A2020]" displayFolder="" count="0" memberValueDatatype="130" unbalanced="0"/>
    <cacheHierarchy uniqueName="[A2020].[nombre_tipo_unidad]" caption="nombre_tipo_unidad" attribute="1" defaultMemberUniqueName="[A2020].[nombre_tipo_unidad].[All]" allUniqueName="[A2020].[nombre_tipo_unidad].[All]" dimensionUniqueName="[A2020]" displayFolder="" count="0" memberValueDatatype="130" unbalanced="0"/>
    <cacheHierarchy uniqueName="[A2020].[tipo_programa]" caption="tipo_programa" attribute="1" defaultMemberUniqueName="[A2020].[tipo_programa].[All]" allUniqueName="[A2020].[tipo_programa].[All]" dimensionUniqueName="[A2020]" displayFolder="" count="0" memberValueDatatype="130" unbalanced="0"/>
    <cacheHierarchy uniqueName="[A2020].[nombre_tipo_programa]" caption="nombre_tipo_programa" attribute="1" defaultMemberUniqueName="[A2020].[nombre_tipo_programa].[All]" allUniqueName="[A2020].[nombre_tipo_programa].[All]" dimensionUniqueName="[A2020]" displayFolder="" count="0" memberValueDatatype="130" unbalanced="0"/>
    <cacheHierarchy uniqueName="[A2020].[nombre_metodologia]" caption="nombre_metodologia" attribute="1" defaultMemberUniqueName="[A2020].[nombre_metodologia].[All]" allUniqueName="[A2020].[nombre_metodologia].[All]" dimensionUniqueName="[A2020]" displayFolder="" count="0" memberValueDatatype="130" unbalanced="0"/>
    <cacheHierarchy uniqueName="[A2020].[tipo_departamento]" caption="tipo_departamento" attribute="1" defaultMemberUniqueName="[A2020].[tipo_departamento].[All]" allUniqueName="[A2020].[tipo_departamento].[All]" dimensionUniqueName="[A2020]" displayFolder="" count="0" memberValueDatatype="130" unbalanced="0"/>
    <cacheHierarchy uniqueName="[A2020].[horizonte]" caption="horizonte" attribute="1" defaultMemberUniqueName="[A2020].[horizonte].[All]" allUniqueName="[A2020].[horizonte].[All]" dimensionUniqueName="[A2020]" displayFolder="" count="0" memberValueDatatype="130" unbalanced="0"/>
    <cacheHierarchy uniqueName="[IF].[ano]" caption="ano" attribute="1" defaultMemberUniqueName="[IF].[ano].[All]" allUniqueName="[IF].[ano].[All]" dimensionUniqueName="[IF]" displayFolder="" count="0" memberValueDatatype="20" unbalanced="0"/>
    <cacheHierarchy uniqueName="[IF].[mes]" caption="mes" attribute="1" defaultMemberUniqueName="[IF].[mes].[All]" allUniqueName="[IF].[mes].[All]" dimensionUniqueName="[IF]" displayFolder="" count="0" memberValueDatatype="20" unbalanced="0"/>
    <cacheHierarchy uniqueName="[IF].[cuenta_ppto]" caption="cuenta_ppto" attribute="1" defaultMemberUniqueName="[IF].[cuenta_ppto].[All]" allUniqueName="[IF].[cuenta_ppto].[All]" dimensionUniqueName="[IF]" displayFolder="" count="0" memberValueDatatype="130" unbalanced="0"/>
    <cacheHierarchy uniqueName="[IF].[nombre_cuenta]" caption="nombre_cuenta" attribute="1" defaultMemberUniqueName="[IF].[nombre_cuenta].[All]" allUniqueName="[IF].[nombre_cuenta].[All]" dimensionUniqueName="[IF]" displayFolder="" count="0" memberValueDatatype="130" unbalanced="0"/>
    <cacheHierarchy uniqueName="[IF].[grupo_cuenta]" caption="grupo_cuenta" attribute="1" defaultMemberUniqueName="[IF].[grupo_cuenta].[All]" allUniqueName="[IF].[grupo_cuenta].[All]" dimensionUniqueName="[IF]" displayFolder="" count="0" memberValueDatatype="130" unbalanced="0"/>
    <cacheHierarchy uniqueName="[IF].[grupo_analisis]" caption="grupo_analisis" attribute="1" defaultMemberUniqueName="[IF].[grupo_analisis].[All]" allUniqueName="[IF].[grupo_analisis].[All]" dimensionUniqueName="[IF]" displayFolder="" count="0" memberValueDatatype="130" unbalanced="0"/>
    <cacheHierarchy uniqueName="[IF].[valor]" caption="valor" attribute="1" defaultMemberUniqueName="[IF].[valor].[All]" allUniqueName="[IF].[valor].[All]" dimensionUniqueName="[IF]" displayFolder="" count="0" memberValueDatatype="5" unbalanced="0"/>
    <cacheHierarchy uniqueName="[IF].[informacion]" caption="informacion" attribute="1" defaultMemberUniqueName="[IF].[informacion].[All]" allUniqueName="[IF].[informacion].[All]" dimensionUniqueName="[IF]" displayFolder="" count="0" memberValueDatatype="130" unbalanced="0"/>
    <cacheHierarchy uniqueName="[IF].[departamento_padre]" caption="departamento_padre" attribute="1" defaultMemberUniqueName="[IF].[departamento_padre].[All]" allUniqueName="[IF].[departamento_padre].[All]" dimensionUniqueName="[IF]" displayFolder="" count="0" memberValueDatatype="130" unbalanced="0"/>
    <cacheHierarchy uniqueName="[IF].[departamento_hijo]" caption="departamento_hijo" attribute="1" defaultMemberUniqueName="[IF].[departamento_hijo].[All]" allUniqueName="[IF].[departamento_hijo].[All]" dimensionUniqueName="[IF]" displayFolder="" count="0" memberValueDatatype="130" unbalanced="0"/>
    <cacheHierarchy uniqueName="[IF].[departamento_jerarquia1]" caption="departamento_jerarquia1" attribute="1" defaultMemberUniqueName="[IF].[departamento_jerarquia1].[All]" allUniqueName="[IF].[departamento_jerarquia1].[All]" dimensionUniqueName="[IF]" displayFolder="" count="0" memberValueDatatype="130" unbalanced="0"/>
    <cacheHierarchy uniqueName="[IF].[departamento_jerarquia2]" caption="departamento_jerarquia2" attribute="1" defaultMemberUniqueName="[IF].[departamento_jerarquia2].[All]" allUniqueName="[IF].[departamento_jerarquia2].[All]" dimensionUniqueName="[IF]" displayFolder="" count="0" memberValueDatatype="130" unbalanced="0"/>
    <cacheHierarchy uniqueName="[IF].[nombre_departamento_padre]" caption="nombre_departamento_padre" attribute="1" defaultMemberUniqueName="[IF].[nombre_departamento_padre].[All]" allUniqueName="[IF].[nombre_departamento_padre].[All]" dimensionUniqueName="[IF]" displayFolder="" count="0" memberValueDatatype="130" unbalanced="0"/>
    <cacheHierarchy uniqueName="[IF].[numero_nivel]" caption="numero_nivel" attribute="1" defaultMemberUniqueName="[IF].[numero_nivel].[All]" allUniqueName="[IF].[numero_nivel].[All]" dimensionUniqueName="[IF]" displayFolder="" count="0" memberValueDatatype="20" unbalanced="0"/>
    <cacheHierarchy uniqueName="[IF].[nombre_departamento_hijo]" caption="nombre_departamento_hijo" attribute="1" defaultMemberUniqueName="[IF].[nombre_departamento_hijo].[All]" allUniqueName="[IF].[nombre_departamento_hijo].[All]" dimensionUniqueName="[IF]" displayFolder="" count="0" memberValueDatatype="130" unbalanced="0"/>
    <cacheHierarchy uniqueName="[IF].[proyecto]" caption="proyecto" attribute="1" defaultMemberUniqueName="[IF].[proyecto].[All]" allUniqueName="[IF].[proyecto].[All]" dimensionUniqueName="[IF]" displayFolder="" count="0" memberValueDatatype="130" unbalanced="0"/>
    <cacheHierarchy uniqueName="[IF].[grupo_jerarquia]" caption="grupo_jerarquia" attribute="1" defaultMemberUniqueName="[IF].[grupo_jerarquia].[All]" allUniqueName="[IF].[grupo_jerarquia].[All]" dimensionUniqueName="[IF]" displayFolder="" count="0" memberValueDatatype="130" unbalanced="0"/>
    <cacheHierarchy uniqueName="[IF].[nombre_grupo_jerarquia]" caption="nombre_grupo_jerarquia" attribute="1" defaultMemberUniqueName="[IF].[nombre_grupo_jerarquia].[All]" allUniqueName="[IF].[nombre_grupo_jerarquia].[All]" dimensionUniqueName="[IF]" displayFolder="" count="0" memberValueDatatype="130" unbalanced="0"/>
    <cacheHierarchy uniqueName="[IF].[tipo_cuenta]" caption="tipo_cuenta" attribute="1" defaultMemberUniqueName="[IF].[tipo_cuenta].[All]" allUniqueName="[IF].[tipo_cuenta].[All]" dimensionUniqueName="[IF]" displayFolder="" count="0" memberValueDatatype="130" unbalanced="0"/>
    <cacheHierarchy uniqueName="[IF].[nombre_tipo_cuenta]" caption="nombre_tipo_cuenta" attribute="1" defaultMemberUniqueName="[IF].[nombre_tipo_cuenta].[All]" allUniqueName="[IF].[nombre_tipo_cuenta].[All]" dimensionUniqueName="[IF]" displayFolder="" count="0" memberValueDatatype="130" unbalanced="0"/>
    <cacheHierarchy uniqueName="[IF].[tipo_unidad]" caption="tipo_unidad" attribute="1" defaultMemberUniqueName="[IF].[tipo_unidad].[All]" allUniqueName="[IF].[tipo_unidad].[All]" dimensionUniqueName="[IF]" displayFolder="" count="0" memberValueDatatype="130" unbalanced="0"/>
    <cacheHierarchy uniqueName="[IF].[nombre_tipo_unidad]" caption="nombre_tipo_unidad" attribute="1" defaultMemberUniqueName="[IF].[nombre_tipo_unidad].[All]" allUniqueName="[IF].[nombre_tipo_unidad].[All]" dimensionUniqueName="[IF]" displayFolder="" count="0" memberValueDatatype="130" unbalanced="0"/>
    <cacheHierarchy uniqueName="[IF].[tipo_programa]" caption="tipo_programa" attribute="1" defaultMemberUniqueName="[IF].[tipo_programa].[All]" allUniqueName="[IF].[tipo_programa].[All]" dimensionUniqueName="[IF]" displayFolder="" count="0" memberValueDatatype="130" unbalanced="0"/>
    <cacheHierarchy uniqueName="[IF].[nombre_tipo_programa]" caption="nombre_tipo_programa" attribute="1" defaultMemberUniqueName="[IF].[nombre_tipo_programa].[All]" allUniqueName="[IF].[nombre_tipo_programa].[All]" dimensionUniqueName="[IF]" displayFolder="" count="0" memberValueDatatype="130" unbalanced="0"/>
    <cacheHierarchy uniqueName="[IF].[nombre_metodologia]" caption="nombre_metodologia" attribute="1" defaultMemberUniqueName="[IF].[nombre_metodologia].[All]" allUniqueName="[IF].[nombre_metodologia].[All]" dimensionUniqueName="[IF]" displayFolder="" count="0" memberValueDatatype="130" unbalanced="0"/>
    <cacheHierarchy uniqueName="[IF].[tipo_departamento]" caption="tipo_departamento" attribute="1" defaultMemberUniqueName="[IF].[tipo_departamento].[All]" allUniqueName="[IF].[tipo_departamento].[All]" dimensionUniqueName="[IF]" displayFolder="" count="0" memberValueDatatype="130" unbalanced="0"/>
    <cacheHierarchy uniqueName="[IF].[horizonte]" caption="horizonte" attribute="1" defaultMemberUniqueName="[IF].[horizonte].[All]" allUniqueName="[IF].[horizonte].[All]" dimensionUniqueName="[IF]" displayFolder="" count="0" memberValueDatatype="130" unbalanced="0"/>
    <cacheHierarchy uniqueName="[poblacion_postgrado].[ano]" caption="ano" attribute="1" defaultMemberUniqueName="[poblacion_postgrado].[ano].[All]" allUniqueName="[poblacion_postgrado].[ano].[All]" dimensionUniqueName="[poblacion_postgrado]" displayFolder="" count="2" memberValueDatatype="20" unbalanced="0">
      <fieldsUsage count="2">
        <fieldUsage x="-1"/>
        <fieldUsage x="0"/>
      </fieldsUsage>
    </cacheHierarchy>
    <cacheHierarchy uniqueName="[poblacion_postgrado].[periodo]" caption="periodo" attribute="1" defaultMemberUniqueName="[poblacion_postgrado].[periodo].[All]" allUniqueName="[poblacion_postgrado].[periodo].[All]" dimensionUniqueName="[poblacion_postgrado]" displayFolder="" count="0" memberValueDatatype="130" unbalanced="0"/>
    <cacheHierarchy uniqueName="[poblacion_postgrado].[semestre]" caption="semestre" attribute="1" defaultMemberUniqueName="[poblacion_postgrado].[semestre].[All]" allUniqueName="[poblacion_postgrado].[semestre].[All]" dimensionUniqueName="[poblacion_postgrado]" displayFolder="" count="2" memberValueDatatype="20" unbalanced="0">
      <fieldsUsage count="2">
        <fieldUsage x="-1"/>
        <fieldUsage x="1"/>
      </fieldsUsage>
    </cacheHierarchy>
    <cacheHierarchy uniqueName="[poblacion_postgrado].[fecha]" caption="fecha" attribute="1" defaultMemberUniqueName="[poblacion_postgrado].[fecha].[All]" allUniqueName="[poblacion_postgrado].[fecha].[All]" dimensionUniqueName="[poblacion_postgrado]" displayFolder="" count="0" memberValueDatatype="130" unbalanced="0"/>
    <cacheHierarchy uniqueName="[poblacion_postgrado].[departamento_padre]" caption="departamento_padre" attribute="1" defaultMemberUniqueName="[poblacion_postgrado].[departamento_padre].[All]" allUniqueName="[poblacion_postgrado].[departamento_padre].[All]" dimensionUniqueName="[poblacion_postgrado]" displayFolder="" count="0" memberValueDatatype="130" unbalanced="0"/>
    <cacheHierarchy uniqueName="[poblacion_postgrado].[nombre_departamento_padre]" caption="nombre_departamento_padre" attribute="1" defaultMemberUniqueName="[poblacion_postgrado].[nombre_departamento_padre].[All]" allUniqueName="[poblacion_postgrado].[nombre_departamento_padre].[All]" dimensionUniqueName="[poblacion_postgrado]" displayFolder="" count="2" memberValueDatatype="130" unbalanced="0">
      <fieldsUsage count="2">
        <fieldUsage x="-1"/>
        <fieldUsage x="4"/>
      </fieldsUsage>
    </cacheHierarchy>
    <cacheHierarchy uniqueName="[poblacion_postgrado].[departamento]" caption="departamento" attribute="1" defaultMemberUniqueName="[poblacion_postgrado].[departamento].[All]" allUniqueName="[poblacion_postgrado].[departamento].[All]" dimensionUniqueName="[poblacion_postgrado]" displayFolder="" count="0" memberValueDatatype="130" unbalanced="0"/>
    <cacheHierarchy uniqueName="[poblacion_postgrado].[nombre_departamento_hijo]" caption="nombre_departamento_hijo" attribute="1" defaultMemberUniqueName="[poblacion_postgrado].[nombre_departamento_hijo].[All]" allUniqueName="[poblacion_postgrado].[nombre_departamento_hijo].[All]" dimensionUniqueName="[poblacion_postgrado]" displayFolder="" count="2" memberValueDatatype="130" unbalanced="0">
      <fieldsUsage count="2">
        <fieldUsage x="-1"/>
        <fieldUsage x="2"/>
      </fieldsUsage>
    </cacheHierarchy>
    <cacheHierarchy uniqueName="[poblacion_postgrado].[tipo_programa]" caption="tipo_programa" attribute="1" defaultMemberUniqueName="[poblacion_postgrado].[tipo_programa].[All]" allUniqueName="[poblacion_postgrado].[tipo_programa].[All]" dimensionUniqueName="[poblacion_postgrado]" displayFolder="" count="0" memberValueDatatype="130" unbalanced="0"/>
    <cacheHierarchy uniqueName="[poblacion_postgrado].[nombre_tipo_programa]" caption="nombre_tipo_programa" attribute="1" defaultMemberUniqueName="[poblacion_postgrado].[nombre_tipo_programa].[All]" allUniqueName="[poblacion_postgrado].[nombre_tipo_programa].[All]" dimensionUniqueName="[poblacion_postgrado]" displayFolder="" count="0" memberValueDatatype="130" unbalanced="0"/>
    <cacheHierarchy uniqueName="[poblacion_postgrado].[nombre_metodologia]" caption="nombre_metodologia" attribute="1" defaultMemberUniqueName="[poblacion_postgrado].[nombre_metodologia].[All]" allUniqueName="[poblacion_postgrado].[nombre_metodologia].[All]" dimensionUniqueName="[poblacion_postgrado]" displayFolder="" count="0" memberValueDatatype="130" unbalanced="0"/>
    <cacheHierarchy uniqueName="[poblacion_postgrado].[ppto_nuevos]" caption="ppto_nuevos" attribute="1" defaultMemberUniqueName="[poblacion_postgrado].[ppto_nuevos].[All]" allUniqueName="[poblacion_postgrado].[ppto_nuevos].[All]" dimensionUniqueName="[poblacion_postgrado]" displayFolder="" count="0" memberValueDatatype="20" unbalanced="0"/>
    <cacheHierarchy uniqueName="[poblacion_postgrado].[ppto_antiguos]" caption="ppto_antiguos" attribute="1" defaultMemberUniqueName="[poblacion_postgrado].[ppto_antiguos].[All]" allUniqueName="[poblacion_postgrado].[ppto_antiguos].[All]" dimensionUniqueName="[poblacion_postgrado]" displayFolder="" count="0" memberValueDatatype="20" unbalanced="0"/>
    <cacheHierarchy uniqueName="[poblacion_postgrado].[real_nuevos]" caption="real_nuevos" attribute="1" defaultMemberUniqueName="[poblacion_postgrado].[real_nuevos].[All]" allUniqueName="[poblacion_postgrado].[real_nuevos].[All]" dimensionUniqueName="[poblacion_postgrado]" displayFolder="" count="0" memberValueDatatype="20" unbalanced="0"/>
    <cacheHierarchy uniqueName="[poblacion_postgrado].[real_antiguos]" caption="real_antiguos" attribute="1" defaultMemberUniqueName="[poblacion_postgrado].[real_antiguos].[All]" allUniqueName="[poblacion_postgrado].[real_antiguos].[All]" dimensionUniqueName="[poblacion_postgrado]" displayFolder="" count="0" memberValueDatatype="20" unbalanced="0"/>
    <cacheHierarchy uniqueName="[poblacion_postgrado].[ppto]" caption="ppto" attribute="1" defaultMemberUniqueName="[poblacion_postgrado].[ppto].[All]" allUniqueName="[poblacion_postgrado].[ppto].[All]" dimensionUniqueName="[poblacion_postgrado]" displayFolder="" count="0" memberValueDatatype="20" unbalanced="0"/>
    <cacheHierarchy uniqueName="[poblacion_postgrado].[real]" caption="real" attribute="1" defaultMemberUniqueName="[poblacion_postgrado].[real].[All]" allUniqueName="[poblacion_postgrado].[real].[All]" dimensionUniqueName="[poblacion_postgrado]" displayFolder="" count="0" memberValueDatatype="20" unbalanced="0"/>
    <cacheHierarchy uniqueName="[poblacion_postgrado].[diferencia]" caption="diferencia" attribute="1" defaultMemberUniqueName="[poblacion_postgrado].[diferencia].[All]" allUniqueName="[poblacion_postgrado].[diferencia].[All]" dimensionUniqueName="[poblacion_postgrado]" displayFolder="" count="0" memberValueDatatype="20" unbalanced="0"/>
    <cacheHierarchy uniqueName="[poblacion_pregrado].[ano]" caption="ano" attribute="1" defaultMemberUniqueName="[poblacion_pregrado].[ano].[All]" allUniqueName="[poblacion_pregrado].[ano].[All]" dimensionUniqueName="[poblacion_pregrado]" displayFolder="" count="0" memberValueDatatype="20" unbalanced="0"/>
    <cacheHierarchy uniqueName="[poblacion_pregrado].[periodo]" caption="periodo" attribute="1" defaultMemberUniqueName="[poblacion_pregrado].[periodo].[All]" allUniqueName="[poblacion_pregrado].[periodo].[All]" dimensionUniqueName="[poblacion_pregrado]" displayFolder="" count="0" memberValueDatatype="130" unbalanced="0"/>
    <cacheHierarchy uniqueName="[poblacion_pregrado].[semestre]" caption="semestre" attribute="1" defaultMemberUniqueName="[poblacion_pregrado].[semestre].[All]" allUniqueName="[poblacion_pregrado].[semestre].[All]" dimensionUniqueName="[poblacion_pregrado]" displayFolder="" count="0" memberValueDatatype="20" unbalanced="0"/>
    <cacheHierarchy uniqueName="[poblacion_pregrado].[departamento_padre]" caption="departamento_padre" attribute="1" defaultMemberUniqueName="[poblacion_pregrado].[departamento_padre].[All]" allUniqueName="[poblacion_pregrado].[departamento_padre].[All]" dimensionUniqueName="[poblacion_pregrado]" displayFolder="" count="0" memberValueDatatype="130" unbalanced="0"/>
    <cacheHierarchy uniqueName="[poblacion_pregrado].[nombre_departamento_padre]" caption="nombre_departamento_padre" attribute="1" defaultMemberUniqueName="[poblacion_pregrado].[nombre_departamento_padre].[All]" allUniqueName="[poblacion_pregrado].[nombre_departamento_padre].[All]" dimensionUniqueName="[poblacion_pregrado]" displayFolder="" count="0" memberValueDatatype="130" unbalanced="0"/>
    <cacheHierarchy uniqueName="[poblacion_pregrado].[departamento]" caption="departamento" attribute="1" defaultMemberUniqueName="[poblacion_pregrado].[departamento].[All]" allUniqueName="[poblacion_pregrado].[departamento].[All]" dimensionUniqueName="[poblacion_pregrado]" displayFolder="" count="0" memberValueDatatype="130" unbalanced="0"/>
    <cacheHierarchy uniqueName="[poblacion_pregrado].[nombre_departamento_hijo]" caption="nombre_departamento_hijo" attribute="1" defaultMemberUniqueName="[poblacion_pregrado].[nombre_departamento_hijo].[All]" allUniqueName="[poblacion_pregrado].[nombre_departamento_hijo].[All]" dimensionUniqueName="[poblacion_pregrado]" displayFolder="" count="0" memberValueDatatype="130" unbalanced="0"/>
    <cacheHierarchy uniqueName="[poblacion_pregrado].[nombre_tipo_estudiante]" caption="nombre_tipo_estudiante" attribute="1" defaultMemberUniqueName="[poblacion_pregrado].[nombre_tipo_estudiante].[All]" allUniqueName="[poblacion_pregrado].[nombre_tipo_estudiante].[All]" dimensionUniqueName="[poblacion_pregrado]" displayFolder="" count="0" memberValueDatatype="130" unbalanced="0"/>
    <cacheHierarchy uniqueName="[poblacion_pregrado].[ppto_nuevos]" caption="ppto_nuevos" attribute="1" defaultMemberUniqueName="[poblacion_pregrado].[ppto_nuevos].[All]" allUniqueName="[poblacion_pregrado].[ppto_nuevos].[All]" dimensionUniqueName="[poblacion_pregrado]" displayFolder="" count="0" memberValueDatatype="5" unbalanced="0"/>
    <cacheHierarchy uniqueName="[poblacion_pregrado].[ppto_antiguos]" caption="ppto_antiguos" attribute="1" defaultMemberUniqueName="[poblacion_pregrado].[ppto_antiguos].[All]" allUniqueName="[poblacion_pregrado].[ppto_antiguos].[All]" dimensionUniqueName="[poblacion_pregrado]" displayFolder="" count="0" memberValueDatatype="5" unbalanced="0"/>
    <cacheHierarchy uniqueName="[poblacion_pregrado].[real_nuevos]" caption="real_nuevos" attribute="1" defaultMemberUniqueName="[poblacion_pregrado].[real_nuevos].[All]" allUniqueName="[poblacion_pregrado].[real_nuevos].[All]" dimensionUniqueName="[poblacion_pregrado]" displayFolder="" count="0" memberValueDatatype="5" unbalanced="0"/>
    <cacheHierarchy uniqueName="[poblacion_pregrado].[real_antiguos]" caption="real_antiguos" attribute="1" defaultMemberUniqueName="[poblacion_pregrado].[real_antiguos].[All]" allUniqueName="[poblacion_pregrado].[real_antiguos].[All]" dimensionUniqueName="[poblacion_pregrado]" displayFolder="" count="0" memberValueDatatype="5" unbalanced="0"/>
    <cacheHierarchy uniqueName="[poblacion_pregrado].[ppto]" caption="ppto" attribute="1" defaultMemberUniqueName="[poblacion_pregrado].[ppto].[All]" allUniqueName="[poblacion_pregrado].[ppto].[All]" dimensionUniqueName="[poblacion_pregrado]" displayFolder="" count="0" memberValueDatatype="5" unbalanced="0"/>
    <cacheHierarchy uniqueName="[poblacion_pregrado].[real]" caption="real" attribute="1" defaultMemberUniqueName="[poblacion_pregrado].[real].[All]" allUniqueName="[poblacion_pregrado].[real].[All]" dimensionUniqueName="[poblacion_pregrado]" displayFolder="" count="0" memberValueDatatype="5" unbalanced="0"/>
    <cacheHierarchy uniqueName="[poblacion_pregrado].[diferencia]" caption="diferencia" attribute="1" defaultMemberUniqueName="[poblacion_pregrado].[diferencia].[All]" allUniqueName="[poblacion_pregrado].[diferencia].[All]" dimensionUniqueName="[poblacion_pregrado]" displayFolder="" count="0" memberValueDatatype="5" unbalanced="0"/>
    <cacheHierarchy uniqueName="[Measures].[__XL_Count A2020]" caption="__XL_Count A2020" measure="1" displayFolder="" measureGroup="A2020" count="0" hidden="1"/>
    <cacheHierarchy uniqueName="[Measures].[__XL_Count IF]" caption="__XL_Count IF" measure="1" displayFolder="" measureGroup="IF" count="0" hidden="1"/>
    <cacheHierarchy uniqueName="[Measures].[__XL_Count poblacion_pregrado]" caption="__XL_Count poblacion_pregrado" measure="1" displayFolder="" measureGroup="poblacion_pregrado" count="0" hidden="1"/>
    <cacheHierarchy uniqueName="[Measures].[__XL_Count poblacion_postgrado]" caption="__XL_Count poblacion_postgrado" measure="1" displayFolder="" measureGroup="poblacion_postgrado" count="0" hidden="1"/>
    <cacheHierarchy uniqueName="[Measures].[__No measures defined]" caption="__No measures defined" measure="1" displayFolder="" count="0" hidden="1"/>
    <cacheHierarchy uniqueName="[Measures].[Suma de valor]" caption="Suma de valor" measure="1" displayFolder="" measureGroup="IF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real]" caption="Suma de real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al_nuevos]" caption="Suma de real_nuev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real_antiguos]" caption="Suma de real_antigu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real 2]" caption="Suma de real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eal_nuevos 2]" caption="Suma de real_nuevos 2" measure="1" displayFolder="" measureGroup="poblacion_postgrado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real_antiguos 2]" caption="Suma de real_antigu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</cacheHierarchies>
  <kpis count="0"/>
  <dimensions count="5">
    <dimension name="A2020" uniqueName="[A2020]" caption="A2020"/>
    <dimension name="IF" uniqueName="[IF]" caption="IF"/>
    <dimension measure="1" name="Measures" uniqueName="[Measures]" caption="Measures"/>
    <dimension name="poblacion_postgrado" uniqueName="[poblacion_postgrado]" caption="poblacion_postgrado"/>
    <dimension name="poblacion_pregrado" uniqueName="[poblacion_pregrado]" caption="poblacion_pregrado"/>
  </dimensions>
  <measureGroups count="4">
    <measureGroup name="A2020" caption="A2020"/>
    <measureGroup name="IF" caption="IF"/>
    <measureGroup name="poblacion_postgrado" caption="poblacion_postgrado"/>
    <measureGroup name="poblacion_pregrado" caption="poblacion_pregrado"/>
  </measureGroups>
  <maps count="4">
    <map measureGroup="0" dimension="0"/>
    <map measureGroup="1" dimension="1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los Alberto Ceballos Gutierrez" refreshedDate="44383.602847685186" createdVersion="5" refreshedVersion="7" minRefreshableVersion="3" recordCount="0" supportSubquery="1" supportAdvancedDrill="1" xr:uid="{C138F3FB-33F2-437B-A76A-8297CF68F954}">
  <cacheSource type="external" connectionId="8"/>
  <cacheFields count="5">
    <cacheField name="[poblacion_postgrado].[ano].[ano]" caption="ano" numFmtId="0" hierarchy="54" level="1">
      <sharedItems containsSemiMixedTypes="0" containsString="0" containsNumber="1" containsInteger="1" minValue="2018" maxValue="2021" count="4"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oblacion_postgrado].[ano].&amp;[2018]"/>
            <x15:cachedUniqueName index="1" name="[poblacion_postgrado].[ano].&amp;[2019]"/>
            <x15:cachedUniqueName index="2" name="[poblacion_postgrado].[ano].&amp;[2020]"/>
            <x15:cachedUniqueName index="3" name="[poblacion_postgrado].[ano].&amp;[2021]"/>
          </x15:cachedUniqueNames>
        </ext>
      </extLst>
    </cacheField>
    <cacheField name="[poblacion_postgrado].[semestre].[semestre]" caption="semestre" numFmtId="0" hierarchy="56" level="1">
      <sharedItems containsSemiMixedTypes="0" containsString="0" containsNumber="1" containsInteger="1" minValue="1" maxValue="2" count="2">
        <n v="1"/>
        <n v="2"/>
      </sharedItems>
      <extLst>
        <ext xmlns:x15="http://schemas.microsoft.com/office/spreadsheetml/2010/11/main" uri="{4F2E5C28-24EA-4eb8-9CBF-B6C8F9C3D259}">
          <x15:cachedUniqueNames>
            <x15:cachedUniqueName index="0" name="[poblacion_postgrado].[semestre].&amp;[1]"/>
            <x15:cachedUniqueName index="1" name="[poblacion_postgrado].[semestre].&amp;[2]"/>
          </x15:cachedUniqueNames>
        </ext>
      </extLst>
    </cacheField>
    <cacheField name="[poblacion_postgrado].[nombre_departamento_hijo].[nombre_departamento_hijo]" caption="nombre_departamento_hijo" numFmtId="0" hierarchy="61" level="1">
      <sharedItems count="2">
        <s v="ESP DLLO PERSONAL Y FAMILIAR"/>
        <s v="MAE ASESORIA FAMILIAR Y GEST"/>
      </sharedItems>
    </cacheField>
    <cacheField name="[Measures].[Suma de real_antiguos 2]" caption="Suma de real_antiguos 2" numFmtId="0" hierarchy="98" level="32767"/>
    <cacheField name="[poblacion_postgrado].[nombre_departamento_padre].[nombre_departamento_padre]" caption="nombre_departamento_padre" numFmtId="0" hierarchy="59" level="1">
      <sharedItems containsSemiMixedTypes="0" containsNonDate="0" containsString="0"/>
    </cacheField>
  </cacheFields>
  <cacheHierarchies count="99">
    <cacheHierarchy uniqueName="[A2020].[ano]" caption="ano" attribute="1" defaultMemberUniqueName="[A2020].[ano].[All]" allUniqueName="[A2020].[ano].[All]" dimensionUniqueName="[A2020]" displayFolder="" count="0" memberValueDatatype="20" unbalanced="0"/>
    <cacheHierarchy uniqueName="[A2020].[mes]" caption="mes" attribute="1" defaultMemberUniqueName="[A2020].[mes].[All]" allUniqueName="[A2020].[mes].[All]" dimensionUniqueName="[A2020]" displayFolder="" count="0" memberValueDatatype="20" unbalanced="0"/>
    <cacheHierarchy uniqueName="[A2020].[cuenta_ppto]" caption="cuenta_ppto" attribute="1" defaultMemberUniqueName="[A2020].[cuenta_ppto].[All]" allUniqueName="[A2020].[cuenta_ppto].[All]" dimensionUniqueName="[A2020]" displayFolder="" count="0" memberValueDatatype="130" unbalanced="0"/>
    <cacheHierarchy uniqueName="[A2020].[nombre_cuenta]" caption="nombre_cuenta" attribute="1" defaultMemberUniqueName="[A2020].[nombre_cuenta].[All]" allUniqueName="[A2020].[nombre_cuenta].[All]" dimensionUniqueName="[A2020]" displayFolder="" count="0" memberValueDatatype="130" unbalanced="0"/>
    <cacheHierarchy uniqueName="[A2020].[grupo_cuenta]" caption="grupo_cuenta" attribute="1" defaultMemberUniqueName="[A2020].[grupo_cuenta].[All]" allUniqueName="[A2020].[grupo_cuenta].[All]" dimensionUniqueName="[A2020]" displayFolder="" count="0" memberValueDatatype="130" unbalanced="0"/>
    <cacheHierarchy uniqueName="[A2020].[grupo_analisis]" caption="grupo_analisis" attribute="1" defaultMemberUniqueName="[A2020].[grupo_analisis].[All]" allUniqueName="[A2020].[grupo_analisis].[All]" dimensionUniqueName="[A2020]" displayFolder="" count="0" memberValueDatatype="130" unbalanced="0"/>
    <cacheHierarchy uniqueName="[A2020].[valor]" caption="valor" attribute="1" defaultMemberUniqueName="[A2020].[valor].[All]" allUniqueName="[A2020].[valor].[All]" dimensionUniqueName="[A2020]" displayFolder="" count="0" memberValueDatatype="5" unbalanced="0"/>
    <cacheHierarchy uniqueName="[A2020].[informacion]" caption="informacion" attribute="1" defaultMemberUniqueName="[A2020].[informacion].[All]" allUniqueName="[A2020].[informacion].[All]" dimensionUniqueName="[A2020]" displayFolder="" count="0" memberValueDatatype="130" unbalanced="0"/>
    <cacheHierarchy uniqueName="[A2020].[departamento_padre]" caption="departamento_padre" attribute="1" defaultMemberUniqueName="[A2020].[departamento_padre].[All]" allUniqueName="[A2020].[departamento_padre].[All]" dimensionUniqueName="[A2020]" displayFolder="" count="0" memberValueDatatype="130" unbalanced="0"/>
    <cacheHierarchy uniqueName="[A2020].[departamento_hijo]" caption="departamento_hijo" attribute="1" defaultMemberUniqueName="[A2020].[departamento_hijo].[All]" allUniqueName="[A2020].[departamento_hijo].[All]" dimensionUniqueName="[A2020]" displayFolder="" count="0" memberValueDatatype="130" unbalanced="0"/>
    <cacheHierarchy uniqueName="[A2020].[departamento_jerarquia1]" caption="departamento_jerarquia1" attribute="1" defaultMemberUniqueName="[A2020].[departamento_jerarquia1].[All]" allUniqueName="[A2020].[departamento_jerarquia1].[All]" dimensionUniqueName="[A2020]" displayFolder="" count="0" memberValueDatatype="130" unbalanced="0"/>
    <cacheHierarchy uniqueName="[A2020].[departamento_jerarquia2]" caption="departamento_jerarquia2" attribute="1" defaultMemberUniqueName="[A2020].[departamento_jerarquia2].[All]" allUniqueName="[A2020].[departamento_jerarquia2].[All]" dimensionUniqueName="[A2020]" displayFolder="" count="0" memberValueDatatype="130" unbalanced="0"/>
    <cacheHierarchy uniqueName="[A2020].[nombre_departamento_padre]" caption="nombre_departamento_padre" attribute="1" defaultMemberUniqueName="[A2020].[nombre_departamento_padre].[All]" allUniqueName="[A2020].[nombre_departamento_padre].[All]" dimensionUniqueName="[A2020]" displayFolder="" count="0" memberValueDatatype="130" unbalanced="0"/>
    <cacheHierarchy uniqueName="[A2020].[numero_nivel]" caption="numero_nivel" attribute="1" defaultMemberUniqueName="[A2020].[numero_nivel].[All]" allUniqueName="[A2020].[numero_nivel].[All]" dimensionUniqueName="[A2020]" displayFolder="" count="0" memberValueDatatype="20" unbalanced="0"/>
    <cacheHierarchy uniqueName="[A2020].[nombre_departamento_hijo]" caption="nombre_departamento_hijo" attribute="1" defaultMemberUniqueName="[A2020].[nombre_departamento_hijo].[All]" allUniqueName="[A2020].[nombre_departamento_hijo].[All]" dimensionUniqueName="[A2020]" displayFolder="" count="0" memberValueDatatype="130" unbalanced="0"/>
    <cacheHierarchy uniqueName="[A2020].[proyecto]" caption="proyecto" attribute="1" defaultMemberUniqueName="[A2020].[proyecto].[All]" allUniqueName="[A2020].[proyecto].[All]" dimensionUniqueName="[A2020]" displayFolder="" count="0" memberValueDatatype="130" unbalanced="0"/>
    <cacheHierarchy uniqueName="[A2020].[grupo_jerarquia]" caption="grupo_jerarquia" attribute="1" defaultMemberUniqueName="[A2020].[grupo_jerarquia].[All]" allUniqueName="[A2020].[grupo_jerarquia].[All]" dimensionUniqueName="[A2020]" displayFolder="" count="0" memberValueDatatype="130" unbalanced="0"/>
    <cacheHierarchy uniqueName="[A2020].[nombre_grupo_jerarquia]" caption="nombre_grupo_jerarquia" attribute="1" defaultMemberUniqueName="[A2020].[nombre_grupo_jerarquia].[All]" allUniqueName="[A2020].[nombre_grupo_jerarquia].[All]" dimensionUniqueName="[A2020]" displayFolder="" count="0" memberValueDatatype="130" unbalanced="0"/>
    <cacheHierarchy uniqueName="[A2020].[tipo_cuenta]" caption="tipo_cuenta" attribute="1" defaultMemberUniqueName="[A2020].[tipo_cuenta].[All]" allUniqueName="[A2020].[tipo_cuenta].[All]" dimensionUniqueName="[A2020]" displayFolder="" count="0" memberValueDatatype="130" unbalanced="0"/>
    <cacheHierarchy uniqueName="[A2020].[nombre_tipo_cuenta]" caption="nombre_tipo_cuenta" attribute="1" defaultMemberUniqueName="[A2020].[nombre_tipo_cuenta].[All]" allUniqueName="[A2020].[nombre_tipo_cuenta].[All]" dimensionUniqueName="[A2020]" displayFolder="" count="0" memberValueDatatype="130" unbalanced="0"/>
    <cacheHierarchy uniqueName="[A2020].[tipo_unidad]" caption="tipo_unidad" attribute="1" defaultMemberUniqueName="[A2020].[tipo_unidad].[All]" allUniqueName="[A2020].[tipo_unidad].[All]" dimensionUniqueName="[A2020]" displayFolder="" count="0" memberValueDatatype="130" unbalanced="0"/>
    <cacheHierarchy uniqueName="[A2020].[nombre_tipo_unidad]" caption="nombre_tipo_unidad" attribute="1" defaultMemberUniqueName="[A2020].[nombre_tipo_unidad].[All]" allUniqueName="[A2020].[nombre_tipo_unidad].[All]" dimensionUniqueName="[A2020]" displayFolder="" count="0" memberValueDatatype="130" unbalanced="0"/>
    <cacheHierarchy uniqueName="[A2020].[tipo_programa]" caption="tipo_programa" attribute="1" defaultMemberUniqueName="[A2020].[tipo_programa].[All]" allUniqueName="[A2020].[tipo_programa].[All]" dimensionUniqueName="[A2020]" displayFolder="" count="0" memberValueDatatype="130" unbalanced="0"/>
    <cacheHierarchy uniqueName="[A2020].[nombre_tipo_programa]" caption="nombre_tipo_programa" attribute="1" defaultMemberUniqueName="[A2020].[nombre_tipo_programa].[All]" allUniqueName="[A2020].[nombre_tipo_programa].[All]" dimensionUniqueName="[A2020]" displayFolder="" count="0" memberValueDatatype="130" unbalanced="0"/>
    <cacheHierarchy uniqueName="[A2020].[nombre_metodologia]" caption="nombre_metodologia" attribute="1" defaultMemberUniqueName="[A2020].[nombre_metodologia].[All]" allUniqueName="[A2020].[nombre_metodologia].[All]" dimensionUniqueName="[A2020]" displayFolder="" count="0" memberValueDatatype="130" unbalanced="0"/>
    <cacheHierarchy uniqueName="[A2020].[tipo_departamento]" caption="tipo_departamento" attribute="1" defaultMemberUniqueName="[A2020].[tipo_departamento].[All]" allUniqueName="[A2020].[tipo_departamento].[All]" dimensionUniqueName="[A2020]" displayFolder="" count="0" memberValueDatatype="130" unbalanced="0"/>
    <cacheHierarchy uniqueName="[A2020].[horizonte]" caption="horizonte" attribute="1" defaultMemberUniqueName="[A2020].[horizonte].[All]" allUniqueName="[A2020].[horizonte].[All]" dimensionUniqueName="[A2020]" displayFolder="" count="0" memberValueDatatype="130" unbalanced="0"/>
    <cacheHierarchy uniqueName="[IF].[ano]" caption="ano" attribute="1" defaultMemberUniqueName="[IF].[ano].[All]" allUniqueName="[IF].[ano].[All]" dimensionUniqueName="[IF]" displayFolder="" count="0" memberValueDatatype="20" unbalanced="0"/>
    <cacheHierarchy uniqueName="[IF].[mes]" caption="mes" attribute="1" defaultMemberUniqueName="[IF].[mes].[All]" allUniqueName="[IF].[mes].[All]" dimensionUniqueName="[IF]" displayFolder="" count="0" memberValueDatatype="20" unbalanced="0"/>
    <cacheHierarchy uniqueName="[IF].[cuenta_ppto]" caption="cuenta_ppto" attribute="1" defaultMemberUniqueName="[IF].[cuenta_ppto].[All]" allUniqueName="[IF].[cuenta_ppto].[All]" dimensionUniqueName="[IF]" displayFolder="" count="0" memberValueDatatype="130" unbalanced="0"/>
    <cacheHierarchy uniqueName="[IF].[nombre_cuenta]" caption="nombre_cuenta" attribute="1" defaultMemberUniqueName="[IF].[nombre_cuenta].[All]" allUniqueName="[IF].[nombre_cuenta].[All]" dimensionUniqueName="[IF]" displayFolder="" count="0" memberValueDatatype="130" unbalanced="0"/>
    <cacheHierarchy uniqueName="[IF].[grupo_cuenta]" caption="grupo_cuenta" attribute="1" defaultMemberUniqueName="[IF].[grupo_cuenta].[All]" allUniqueName="[IF].[grupo_cuenta].[All]" dimensionUniqueName="[IF]" displayFolder="" count="0" memberValueDatatype="130" unbalanced="0"/>
    <cacheHierarchy uniqueName="[IF].[grupo_analisis]" caption="grupo_analisis" attribute="1" defaultMemberUniqueName="[IF].[grupo_analisis].[All]" allUniqueName="[IF].[grupo_analisis].[All]" dimensionUniqueName="[IF]" displayFolder="" count="0" memberValueDatatype="130" unbalanced="0"/>
    <cacheHierarchy uniqueName="[IF].[valor]" caption="valor" attribute="1" defaultMemberUniqueName="[IF].[valor].[All]" allUniqueName="[IF].[valor].[All]" dimensionUniqueName="[IF]" displayFolder="" count="0" memberValueDatatype="5" unbalanced="0"/>
    <cacheHierarchy uniqueName="[IF].[informacion]" caption="informacion" attribute="1" defaultMemberUniqueName="[IF].[informacion].[All]" allUniqueName="[IF].[informacion].[All]" dimensionUniqueName="[IF]" displayFolder="" count="0" memberValueDatatype="130" unbalanced="0"/>
    <cacheHierarchy uniqueName="[IF].[departamento_padre]" caption="departamento_padre" attribute="1" defaultMemberUniqueName="[IF].[departamento_padre].[All]" allUniqueName="[IF].[departamento_padre].[All]" dimensionUniqueName="[IF]" displayFolder="" count="0" memberValueDatatype="130" unbalanced="0"/>
    <cacheHierarchy uniqueName="[IF].[departamento_hijo]" caption="departamento_hijo" attribute="1" defaultMemberUniqueName="[IF].[departamento_hijo].[All]" allUniqueName="[IF].[departamento_hijo].[All]" dimensionUniqueName="[IF]" displayFolder="" count="0" memberValueDatatype="130" unbalanced="0"/>
    <cacheHierarchy uniqueName="[IF].[departamento_jerarquia1]" caption="departamento_jerarquia1" attribute="1" defaultMemberUniqueName="[IF].[departamento_jerarquia1].[All]" allUniqueName="[IF].[departamento_jerarquia1].[All]" dimensionUniqueName="[IF]" displayFolder="" count="0" memberValueDatatype="130" unbalanced="0"/>
    <cacheHierarchy uniqueName="[IF].[departamento_jerarquia2]" caption="departamento_jerarquia2" attribute="1" defaultMemberUniqueName="[IF].[departamento_jerarquia2].[All]" allUniqueName="[IF].[departamento_jerarquia2].[All]" dimensionUniqueName="[IF]" displayFolder="" count="0" memberValueDatatype="130" unbalanced="0"/>
    <cacheHierarchy uniqueName="[IF].[nombre_departamento_padre]" caption="nombre_departamento_padre" attribute="1" defaultMemberUniqueName="[IF].[nombre_departamento_padre].[All]" allUniqueName="[IF].[nombre_departamento_padre].[All]" dimensionUniqueName="[IF]" displayFolder="" count="0" memberValueDatatype="130" unbalanced="0"/>
    <cacheHierarchy uniqueName="[IF].[numero_nivel]" caption="numero_nivel" attribute="1" defaultMemberUniqueName="[IF].[numero_nivel].[All]" allUniqueName="[IF].[numero_nivel].[All]" dimensionUniqueName="[IF]" displayFolder="" count="0" memberValueDatatype="20" unbalanced="0"/>
    <cacheHierarchy uniqueName="[IF].[nombre_departamento_hijo]" caption="nombre_departamento_hijo" attribute="1" defaultMemberUniqueName="[IF].[nombre_departamento_hijo].[All]" allUniqueName="[IF].[nombre_departamento_hijo].[All]" dimensionUniqueName="[IF]" displayFolder="" count="0" memberValueDatatype="130" unbalanced="0"/>
    <cacheHierarchy uniqueName="[IF].[proyecto]" caption="proyecto" attribute="1" defaultMemberUniqueName="[IF].[proyecto].[All]" allUniqueName="[IF].[proyecto].[All]" dimensionUniqueName="[IF]" displayFolder="" count="0" memberValueDatatype="130" unbalanced="0"/>
    <cacheHierarchy uniqueName="[IF].[grupo_jerarquia]" caption="grupo_jerarquia" attribute="1" defaultMemberUniqueName="[IF].[grupo_jerarquia].[All]" allUniqueName="[IF].[grupo_jerarquia].[All]" dimensionUniqueName="[IF]" displayFolder="" count="0" memberValueDatatype="130" unbalanced="0"/>
    <cacheHierarchy uniqueName="[IF].[nombre_grupo_jerarquia]" caption="nombre_grupo_jerarquia" attribute="1" defaultMemberUniqueName="[IF].[nombre_grupo_jerarquia].[All]" allUniqueName="[IF].[nombre_grupo_jerarquia].[All]" dimensionUniqueName="[IF]" displayFolder="" count="0" memberValueDatatype="130" unbalanced="0"/>
    <cacheHierarchy uniqueName="[IF].[tipo_cuenta]" caption="tipo_cuenta" attribute="1" defaultMemberUniqueName="[IF].[tipo_cuenta].[All]" allUniqueName="[IF].[tipo_cuenta].[All]" dimensionUniqueName="[IF]" displayFolder="" count="0" memberValueDatatype="130" unbalanced="0"/>
    <cacheHierarchy uniqueName="[IF].[nombre_tipo_cuenta]" caption="nombre_tipo_cuenta" attribute="1" defaultMemberUniqueName="[IF].[nombre_tipo_cuenta].[All]" allUniqueName="[IF].[nombre_tipo_cuenta].[All]" dimensionUniqueName="[IF]" displayFolder="" count="0" memberValueDatatype="130" unbalanced="0"/>
    <cacheHierarchy uniqueName="[IF].[tipo_unidad]" caption="tipo_unidad" attribute="1" defaultMemberUniqueName="[IF].[tipo_unidad].[All]" allUniqueName="[IF].[tipo_unidad].[All]" dimensionUniqueName="[IF]" displayFolder="" count="0" memberValueDatatype="130" unbalanced="0"/>
    <cacheHierarchy uniqueName="[IF].[nombre_tipo_unidad]" caption="nombre_tipo_unidad" attribute="1" defaultMemberUniqueName="[IF].[nombre_tipo_unidad].[All]" allUniqueName="[IF].[nombre_tipo_unidad].[All]" dimensionUniqueName="[IF]" displayFolder="" count="0" memberValueDatatype="130" unbalanced="0"/>
    <cacheHierarchy uniqueName="[IF].[tipo_programa]" caption="tipo_programa" attribute="1" defaultMemberUniqueName="[IF].[tipo_programa].[All]" allUniqueName="[IF].[tipo_programa].[All]" dimensionUniqueName="[IF]" displayFolder="" count="0" memberValueDatatype="130" unbalanced="0"/>
    <cacheHierarchy uniqueName="[IF].[nombre_tipo_programa]" caption="nombre_tipo_programa" attribute="1" defaultMemberUniqueName="[IF].[nombre_tipo_programa].[All]" allUniqueName="[IF].[nombre_tipo_programa].[All]" dimensionUniqueName="[IF]" displayFolder="" count="0" memberValueDatatype="130" unbalanced="0"/>
    <cacheHierarchy uniqueName="[IF].[nombre_metodologia]" caption="nombre_metodologia" attribute="1" defaultMemberUniqueName="[IF].[nombre_metodologia].[All]" allUniqueName="[IF].[nombre_metodologia].[All]" dimensionUniqueName="[IF]" displayFolder="" count="0" memberValueDatatype="130" unbalanced="0"/>
    <cacheHierarchy uniqueName="[IF].[tipo_departamento]" caption="tipo_departamento" attribute="1" defaultMemberUniqueName="[IF].[tipo_departamento].[All]" allUniqueName="[IF].[tipo_departamento].[All]" dimensionUniqueName="[IF]" displayFolder="" count="0" memberValueDatatype="130" unbalanced="0"/>
    <cacheHierarchy uniqueName="[IF].[horizonte]" caption="horizonte" attribute="1" defaultMemberUniqueName="[IF].[horizonte].[All]" allUniqueName="[IF].[horizonte].[All]" dimensionUniqueName="[IF]" displayFolder="" count="0" memberValueDatatype="130" unbalanced="0"/>
    <cacheHierarchy uniqueName="[poblacion_postgrado].[ano]" caption="ano" attribute="1" defaultMemberUniqueName="[poblacion_postgrado].[ano].[All]" allUniqueName="[poblacion_postgrado].[ano].[All]" dimensionUniqueName="[poblacion_postgrado]" displayFolder="" count="2" memberValueDatatype="20" unbalanced="0">
      <fieldsUsage count="2">
        <fieldUsage x="-1"/>
        <fieldUsage x="0"/>
      </fieldsUsage>
    </cacheHierarchy>
    <cacheHierarchy uniqueName="[poblacion_postgrado].[periodo]" caption="periodo" attribute="1" defaultMemberUniqueName="[poblacion_postgrado].[periodo].[All]" allUniqueName="[poblacion_postgrado].[periodo].[All]" dimensionUniqueName="[poblacion_postgrado]" displayFolder="" count="0" memberValueDatatype="130" unbalanced="0"/>
    <cacheHierarchy uniqueName="[poblacion_postgrado].[semestre]" caption="semestre" attribute="1" defaultMemberUniqueName="[poblacion_postgrado].[semestre].[All]" allUniqueName="[poblacion_postgrado].[semestre].[All]" dimensionUniqueName="[poblacion_postgrado]" displayFolder="" count="2" memberValueDatatype="20" unbalanced="0">
      <fieldsUsage count="2">
        <fieldUsage x="-1"/>
        <fieldUsage x="1"/>
      </fieldsUsage>
    </cacheHierarchy>
    <cacheHierarchy uniqueName="[poblacion_postgrado].[fecha]" caption="fecha" attribute="1" defaultMemberUniqueName="[poblacion_postgrado].[fecha].[All]" allUniqueName="[poblacion_postgrado].[fecha].[All]" dimensionUniqueName="[poblacion_postgrado]" displayFolder="" count="0" memberValueDatatype="130" unbalanced="0"/>
    <cacheHierarchy uniqueName="[poblacion_postgrado].[departamento_padre]" caption="departamento_padre" attribute="1" defaultMemberUniqueName="[poblacion_postgrado].[departamento_padre].[All]" allUniqueName="[poblacion_postgrado].[departamento_padre].[All]" dimensionUniqueName="[poblacion_postgrado]" displayFolder="" count="0" memberValueDatatype="130" unbalanced="0"/>
    <cacheHierarchy uniqueName="[poblacion_postgrado].[nombre_departamento_padre]" caption="nombre_departamento_padre" attribute="1" defaultMemberUniqueName="[poblacion_postgrado].[nombre_departamento_padre].[All]" allUniqueName="[poblacion_postgrado].[nombre_departamento_padre].[All]" dimensionUniqueName="[poblacion_postgrado]" displayFolder="" count="2" memberValueDatatype="130" unbalanced="0">
      <fieldsUsage count="2">
        <fieldUsage x="-1"/>
        <fieldUsage x="4"/>
      </fieldsUsage>
    </cacheHierarchy>
    <cacheHierarchy uniqueName="[poblacion_postgrado].[departamento]" caption="departamento" attribute="1" defaultMemberUniqueName="[poblacion_postgrado].[departamento].[All]" allUniqueName="[poblacion_postgrado].[departamento].[All]" dimensionUniqueName="[poblacion_postgrado]" displayFolder="" count="0" memberValueDatatype="130" unbalanced="0"/>
    <cacheHierarchy uniqueName="[poblacion_postgrado].[nombre_departamento_hijo]" caption="nombre_departamento_hijo" attribute="1" defaultMemberUniqueName="[poblacion_postgrado].[nombre_departamento_hijo].[All]" allUniqueName="[poblacion_postgrado].[nombre_departamento_hijo].[All]" dimensionUniqueName="[poblacion_postgrado]" displayFolder="" count="2" memberValueDatatype="130" unbalanced="0">
      <fieldsUsage count="2">
        <fieldUsage x="-1"/>
        <fieldUsage x="2"/>
      </fieldsUsage>
    </cacheHierarchy>
    <cacheHierarchy uniqueName="[poblacion_postgrado].[tipo_programa]" caption="tipo_programa" attribute="1" defaultMemberUniqueName="[poblacion_postgrado].[tipo_programa].[All]" allUniqueName="[poblacion_postgrado].[tipo_programa].[All]" dimensionUniqueName="[poblacion_postgrado]" displayFolder="" count="0" memberValueDatatype="130" unbalanced="0"/>
    <cacheHierarchy uniqueName="[poblacion_postgrado].[nombre_tipo_programa]" caption="nombre_tipo_programa" attribute="1" defaultMemberUniqueName="[poblacion_postgrado].[nombre_tipo_programa].[All]" allUniqueName="[poblacion_postgrado].[nombre_tipo_programa].[All]" dimensionUniqueName="[poblacion_postgrado]" displayFolder="" count="0" memberValueDatatype="130" unbalanced="0"/>
    <cacheHierarchy uniqueName="[poblacion_postgrado].[nombre_metodologia]" caption="nombre_metodologia" attribute="1" defaultMemberUniqueName="[poblacion_postgrado].[nombre_metodologia].[All]" allUniqueName="[poblacion_postgrado].[nombre_metodologia].[All]" dimensionUniqueName="[poblacion_postgrado]" displayFolder="" count="0" memberValueDatatype="130" unbalanced="0"/>
    <cacheHierarchy uniqueName="[poblacion_postgrado].[ppto_nuevos]" caption="ppto_nuevos" attribute="1" defaultMemberUniqueName="[poblacion_postgrado].[ppto_nuevos].[All]" allUniqueName="[poblacion_postgrado].[ppto_nuevos].[All]" dimensionUniqueName="[poblacion_postgrado]" displayFolder="" count="0" memberValueDatatype="20" unbalanced="0"/>
    <cacheHierarchy uniqueName="[poblacion_postgrado].[ppto_antiguos]" caption="ppto_antiguos" attribute="1" defaultMemberUniqueName="[poblacion_postgrado].[ppto_antiguos].[All]" allUniqueName="[poblacion_postgrado].[ppto_antiguos].[All]" dimensionUniqueName="[poblacion_postgrado]" displayFolder="" count="0" memberValueDatatype="20" unbalanced="0"/>
    <cacheHierarchy uniqueName="[poblacion_postgrado].[real_nuevos]" caption="real_nuevos" attribute="1" defaultMemberUniqueName="[poblacion_postgrado].[real_nuevos].[All]" allUniqueName="[poblacion_postgrado].[real_nuevos].[All]" dimensionUniqueName="[poblacion_postgrado]" displayFolder="" count="0" memberValueDatatype="20" unbalanced="0"/>
    <cacheHierarchy uniqueName="[poblacion_postgrado].[real_antiguos]" caption="real_antiguos" attribute="1" defaultMemberUniqueName="[poblacion_postgrado].[real_antiguos].[All]" allUniqueName="[poblacion_postgrado].[real_antiguos].[All]" dimensionUniqueName="[poblacion_postgrado]" displayFolder="" count="0" memberValueDatatype="20" unbalanced="0"/>
    <cacheHierarchy uniqueName="[poblacion_postgrado].[ppto]" caption="ppto" attribute="1" defaultMemberUniqueName="[poblacion_postgrado].[ppto].[All]" allUniqueName="[poblacion_postgrado].[ppto].[All]" dimensionUniqueName="[poblacion_postgrado]" displayFolder="" count="0" memberValueDatatype="20" unbalanced="0"/>
    <cacheHierarchy uniqueName="[poblacion_postgrado].[real]" caption="real" attribute="1" defaultMemberUniqueName="[poblacion_postgrado].[real].[All]" allUniqueName="[poblacion_postgrado].[real].[All]" dimensionUniqueName="[poblacion_postgrado]" displayFolder="" count="0" memberValueDatatype="20" unbalanced="0"/>
    <cacheHierarchy uniqueName="[poblacion_postgrado].[diferencia]" caption="diferencia" attribute="1" defaultMemberUniqueName="[poblacion_postgrado].[diferencia].[All]" allUniqueName="[poblacion_postgrado].[diferencia].[All]" dimensionUniqueName="[poblacion_postgrado]" displayFolder="" count="0" memberValueDatatype="20" unbalanced="0"/>
    <cacheHierarchy uniqueName="[poblacion_pregrado].[ano]" caption="ano" attribute="1" defaultMemberUniqueName="[poblacion_pregrado].[ano].[All]" allUniqueName="[poblacion_pregrado].[ano].[All]" dimensionUniqueName="[poblacion_pregrado]" displayFolder="" count="0" memberValueDatatype="20" unbalanced="0"/>
    <cacheHierarchy uniqueName="[poblacion_pregrado].[periodo]" caption="periodo" attribute="1" defaultMemberUniqueName="[poblacion_pregrado].[periodo].[All]" allUniqueName="[poblacion_pregrado].[periodo].[All]" dimensionUniqueName="[poblacion_pregrado]" displayFolder="" count="0" memberValueDatatype="130" unbalanced="0"/>
    <cacheHierarchy uniqueName="[poblacion_pregrado].[semestre]" caption="semestre" attribute="1" defaultMemberUniqueName="[poblacion_pregrado].[semestre].[All]" allUniqueName="[poblacion_pregrado].[semestre].[All]" dimensionUniqueName="[poblacion_pregrado]" displayFolder="" count="0" memberValueDatatype="20" unbalanced="0"/>
    <cacheHierarchy uniqueName="[poblacion_pregrado].[departamento_padre]" caption="departamento_padre" attribute="1" defaultMemberUniqueName="[poblacion_pregrado].[departamento_padre].[All]" allUniqueName="[poblacion_pregrado].[departamento_padre].[All]" dimensionUniqueName="[poblacion_pregrado]" displayFolder="" count="0" memberValueDatatype="130" unbalanced="0"/>
    <cacheHierarchy uniqueName="[poblacion_pregrado].[nombre_departamento_padre]" caption="nombre_departamento_padre" attribute="1" defaultMemberUniqueName="[poblacion_pregrado].[nombre_departamento_padre].[All]" allUniqueName="[poblacion_pregrado].[nombre_departamento_padre].[All]" dimensionUniqueName="[poblacion_pregrado]" displayFolder="" count="0" memberValueDatatype="130" unbalanced="0"/>
    <cacheHierarchy uniqueName="[poblacion_pregrado].[departamento]" caption="departamento" attribute="1" defaultMemberUniqueName="[poblacion_pregrado].[departamento].[All]" allUniqueName="[poblacion_pregrado].[departamento].[All]" dimensionUniqueName="[poblacion_pregrado]" displayFolder="" count="0" memberValueDatatype="130" unbalanced="0"/>
    <cacheHierarchy uniqueName="[poblacion_pregrado].[nombre_departamento_hijo]" caption="nombre_departamento_hijo" attribute="1" defaultMemberUniqueName="[poblacion_pregrado].[nombre_departamento_hijo].[All]" allUniqueName="[poblacion_pregrado].[nombre_departamento_hijo].[All]" dimensionUniqueName="[poblacion_pregrado]" displayFolder="" count="0" memberValueDatatype="130" unbalanced="0"/>
    <cacheHierarchy uniqueName="[poblacion_pregrado].[nombre_tipo_estudiante]" caption="nombre_tipo_estudiante" attribute="1" defaultMemberUniqueName="[poblacion_pregrado].[nombre_tipo_estudiante].[All]" allUniqueName="[poblacion_pregrado].[nombre_tipo_estudiante].[All]" dimensionUniqueName="[poblacion_pregrado]" displayFolder="" count="0" memberValueDatatype="130" unbalanced="0"/>
    <cacheHierarchy uniqueName="[poblacion_pregrado].[ppto_nuevos]" caption="ppto_nuevos" attribute="1" defaultMemberUniqueName="[poblacion_pregrado].[ppto_nuevos].[All]" allUniqueName="[poblacion_pregrado].[ppto_nuevos].[All]" dimensionUniqueName="[poblacion_pregrado]" displayFolder="" count="0" memberValueDatatype="5" unbalanced="0"/>
    <cacheHierarchy uniqueName="[poblacion_pregrado].[ppto_antiguos]" caption="ppto_antiguos" attribute="1" defaultMemberUniqueName="[poblacion_pregrado].[ppto_antiguos].[All]" allUniqueName="[poblacion_pregrado].[ppto_antiguos].[All]" dimensionUniqueName="[poblacion_pregrado]" displayFolder="" count="0" memberValueDatatype="5" unbalanced="0"/>
    <cacheHierarchy uniqueName="[poblacion_pregrado].[real_nuevos]" caption="real_nuevos" attribute="1" defaultMemberUniqueName="[poblacion_pregrado].[real_nuevos].[All]" allUniqueName="[poblacion_pregrado].[real_nuevos].[All]" dimensionUniqueName="[poblacion_pregrado]" displayFolder="" count="0" memberValueDatatype="5" unbalanced="0"/>
    <cacheHierarchy uniqueName="[poblacion_pregrado].[real_antiguos]" caption="real_antiguos" attribute="1" defaultMemberUniqueName="[poblacion_pregrado].[real_antiguos].[All]" allUniqueName="[poblacion_pregrado].[real_antiguos].[All]" dimensionUniqueName="[poblacion_pregrado]" displayFolder="" count="0" memberValueDatatype="5" unbalanced="0"/>
    <cacheHierarchy uniqueName="[poblacion_pregrado].[ppto]" caption="ppto" attribute="1" defaultMemberUniqueName="[poblacion_pregrado].[ppto].[All]" allUniqueName="[poblacion_pregrado].[ppto].[All]" dimensionUniqueName="[poblacion_pregrado]" displayFolder="" count="0" memberValueDatatype="5" unbalanced="0"/>
    <cacheHierarchy uniqueName="[poblacion_pregrado].[real]" caption="real" attribute="1" defaultMemberUniqueName="[poblacion_pregrado].[real].[All]" allUniqueName="[poblacion_pregrado].[real].[All]" dimensionUniqueName="[poblacion_pregrado]" displayFolder="" count="0" memberValueDatatype="5" unbalanced="0"/>
    <cacheHierarchy uniqueName="[poblacion_pregrado].[diferencia]" caption="diferencia" attribute="1" defaultMemberUniqueName="[poblacion_pregrado].[diferencia].[All]" allUniqueName="[poblacion_pregrado].[diferencia].[All]" dimensionUniqueName="[poblacion_pregrado]" displayFolder="" count="0" memberValueDatatype="5" unbalanced="0"/>
    <cacheHierarchy uniqueName="[Measures].[__XL_Count A2020]" caption="__XL_Count A2020" measure="1" displayFolder="" measureGroup="A2020" count="0" hidden="1"/>
    <cacheHierarchy uniqueName="[Measures].[__XL_Count IF]" caption="__XL_Count IF" measure="1" displayFolder="" measureGroup="IF" count="0" hidden="1"/>
    <cacheHierarchy uniqueName="[Measures].[__XL_Count poblacion_pregrado]" caption="__XL_Count poblacion_pregrado" measure="1" displayFolder="" measureGroup="poblacion_pregrado" count="0" hidden="1"/>
    <cacheHierarchy uniqueName="[Measures].[__XL_Count poblacion_postgrado]" caption="__XL_Count poblacion_postgrado" measure="1" displayFolder="" measureGroup="poblacion_postgrado" count="0" hidden="1"/>
    <cacheHierarchy uniqueName="[Measures].[__No measures defined]" caption="__No measures defined" measure="1" displayFolder="" count="0" hidden="1"/>
    <cacheHierarchy uniqueName="[Measures].[Suma de valor]" caption="Suma de valor" measure="1" displayFolder="" measureGroup="IF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real]" caption="Suma de real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al_nuevos]" caption="Suma de real_nuev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real_antiguos]" caption="Suma de real_antigu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real 2]" caption="Suma de real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eal_nuevos 2]" caption="Suma de real_nuev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real_antiguos 2]" caption="Suma de real_antiguos 2" measure="1" displayFolder="" measureGroup="poblacion_postgrado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68"/>
        </ext>
      </extLst>
    </cacheHierarchy>
  </cacheHierarchies>
  <kpis count="0"/>
  <dimensions count="5">
    <dimension name="A2020" uniqueName="[A2020]" caption="A2020"/>
    <dimension name="IF" uniqueName="[IF]" caption="IF"/>
    <dimension measure="1" name="Measures" uniqueName="[Measures]" caption="Measures"/>
    <dimension name="poblacion_postgrado" uniqueName="[poblacion_postgrado]" caption="poblacion_postgrado"/>
    <dimension name="poblacion_pregrado" uniqueName="[poblacion_pregrado]" caption="poblacion_pregrado"/>
  </dimensions>
  <measureGroups count="4">
    <measureGroup name="A2020" caption="A2020"/>
    <measureGroup name="IF" caption="IF"/>
    <measureGroup name="poblacion_postgrado" caption="poblacion_postgrado"/>
    <measureGroup name="poblacion_pregrado" caption="poblacion_pregrado"/>
  </measureGroups>
  <maps count="4">
    <map measureGroup="0" dimension="0"/>
    <map measureGroup="1" dimension="1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los Alberto Ceballos Gutierrez" refreshedDate="44383.587237037034" createdVersion="3" refreshedVersion="7" minRefreshableVersion="3" recordCount="0" supportSubquery="1" supportAdvancedDrill="1" xr:uid="{370E69DF-393E-45EC-9D4D-8EC15F174FD1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99">
    <cacheHierarchy uniqueName="[A2020].[ano]" caption="ano" attribute="1" defaultMemberUniqueName="[A2020].[ano].[All]" allUniqueName="[A2020].[ano].[All]" dimensionUniqueName="[A2020]" displayFolder="" count="0" memberValueDatatype="20" unbalanced="0"/>
    <cacheHierarchy uniqueName="[A2020].[mes]" caption="mes" attribute="1" defaultMemberUniqueName="[A2020].[mes].[All]" allUniqueName="[A2020].[mes].[All]" dimensionUniqueName="[A2020]" displayFolder="" count="0" memberValueDatatype="20" unbalanced="0"/>
    <cacheHierarchy uniqueName="[A2020].[cuenta_ppto]" caption="cuenta_ppto" attribute="1" defaultMemberUniqueName="[A2020].[cuenta_ppto].[All]" allUniqueName="[A2020].[cuenta_ppto].[All]" dimensionUniqueName="[A2020]" displayFolder="" count="0" memberValueDatatype="130" unbalanced="0"/>
    <cacheHierarchy uniqueName="[A2020].[nombre_cuenta]" caption="nombre_cuenta" attribute="1" defaultMemberUniqueName="[A2020].[nombre_cuenta].[All]" allUniqueName="[A2020].[nombre_cuenta].[All]" dimensionUniqueName="[A2020]" displayFolder="" count="0" memberValueDatatype="130" unbalanced="0"/>
    <cacheHierarchy uniqueName="[A2020].[grupo_cuenta]" caption="grupo_cuenta" attribute="1" defaultMemberUniqueName="[A2020].[grupo_cuenta].[All]" allUniqueName="[A2020].[grupo_cuenta].[All]" dimensionUniqueName="[A2020]" displayFolder="" count="0" memberValueDatatype="130" unbalanced="0"/>
    <cacheHierarchy uniqueName="[A2020].[grupo_analisis]" caption="grupo_analisis" attribute="1" defaultMemberUniqueName="[A2020].[grupo_analisis].[All]" allUniqueName="[A2020].[grupo_analisis].[All]" dimensionUniqueName="[A2020]" displayFolder="" count="0" memberValueDatatype="130" unbalanced="0"/>
    <cacheHierarchy uniqueName="[A2020].[valor]" caption="valor" attribute="1" defaultMemberUniqueName="[A2020].[valor].[All]" allUniqueName="[A2020].[valor].[All]" dimensionUniqueName="[A2020]" displayFolder="" count="0" memberValueDatatype="5" unbalanced="0"/>
    <cacheHierarchy uniqueName="[A2020].[informacion]" caption="informacion" attribute="1" defaultMemberUniqueName="[A2020].[informacion].[All]" allUniqueName="[A2020].[informacion].[All]" dimensionUniqueName="[A2020]" displayFolder="" count="0" memberValueDatatype="130" unbalanced="0"/>
    <cacheHierarchy uniqueName="[A2020].[departamento_padre]" caption="departamento_padre" attribute="1" defaultMemberUniqueName="[A2020].[departamento_padre].[All]" allUniqueName="[A2020].[departamento_padre].[All]" dimensionUniqueName="[A2020]" displayFolder="" count="0" memberValueDatatype="130" unbalanced="0"/>
    <cacheHierarchy uniqueName="[A2020].[departamento_hijo]" caption="departamento_hijo" attribute="1" defaultMemberUniqueName="[A2020].[departamento_hijo].[All]" allUniqueName="[A2020].[departamento_hijo].[All]" dimensionUniqueName="[A2020]" displayFolder="" count="0" memberValueDatatype="130" unbalanced="0"/>
    <cacheHierarchy uniqueName="[A2020].[departamento_jerarquia1]" caption="departamento_jerarquia1" attribute="1" defaultMemberUniqueName="[A2020].[departamento_jerarquia1].[All]" allUniqueName="[A2020].[departamento_jerarquia1].[All]" dimensionUniqueName="[A2020]" displayFolder="" count="0" memberValueDatatype="130" unbalanced="0"/>
    <cacheHierarchy uniqueName="[A2020].[departamento_jerarquia2]" caption="departamento_jerarquia2" attribute="1" defaultMemberUniqueName="[A2020].[departamento_jerarquia2].[All]" allUniqueName="[A2020].[departamento_jerarquia2].[All]" dimensionUniqueName="[A2020]" displayFolder="" count="0" memberValueDatatype="130" unbalanced="0"/>
    <cacheHierarchy uniqueName="[A2020].[nombre_departamento_padre]" caption="nombre_departamento_padre" attribute="1" defaultMemberUniqueName="[A2020].[nombre_departamento_padre].[All]" allUniqueName="[A2020].[nombre_departamento_padre].[All]" dimensionUniqueName="[A2020]" displayFolder="" count="0" memberValueDatatype="130" unbalanced="0"/>
    <cacheHierarchy uniqueName="[A2020].[numero_nivel]" caption="numero_nivel" attribute="1" defaultMemberUniqueName="[A2020].[numero_nivel].[All]" allUniqueName="[A2020].[numero_nivel].[All]" dimensionUniqueName="[A2020]" displayFolder="" count="0" memberValueDatatype="20" unbalanced="0"/>
    <cacheHierarchy uniqueName="[A2020].[nombre_departamento_hijo]" caption="nombre_departamento_hijo" attribute="1" defaultMemberUniqueName="[A2020].[nombre_departamento_hijo].[All]" allUniqueName="[A2020].[nombre_departamento_hijo].[All]" dimensionUniqueName="[A2020]" displayFolder="" count="0" memberValueDatatype="130" unbalanced="0"/>
    <cacheHierarchy uniqueName="[A2020].[proyecto]" caption="proyecto" attribute="1" defaultMemberUniqueName="[A2020].[proyecto].[All]" allUniqueName="[A2020].[proyecto].[All]" dimensionUniqueName="[A2020]" displayFolder="" count="0" memberValueDatatype="130" unbalanced="0"/>
    <cacheHierarchy uniqueName="[A2020].[grupo_jerarquia]" caption="grupo_jerarquia" attribute="1" defaultMemberUniqueName="[A2020].[grupo_jerarquia].[All]" allUniqueName="[A2020].[grupo_jerarquia].[All]" dimensionUniqueName="[A2020]" displayFolder="" count="0" memberValueDatatype="130" unbalanced="0"/>
    <cacheHierarchy uniqueName="[A2020].[nombre_grupo_jerarquia]" caption="nombre_grupo_jerarquia" attribute="1" defaultMemberUniqueName="[A2020].[nombre_grupo_jerarquia].[All]" allUniqueName="[A2020].[nombre_grupo_jerarquia].[All]" dimensionUniqueName="[A2020]" displayFolder="" count="0" memberValueDatatype="130" unbalanced="0"/>
    <cacheHierarchy uniqueName="[A2020].[tipo_cuenta]" caption="tipo_cuenta" attribute="1" defaultMemberUniqueName="[A2020].[tipo_cuenta].[All]" allUniqueName="[A2020].[tipo_cuenta].[All]" dimensionUniqueName="[A2020]" displayFolder="" count="0" memberValueDatatype="130" unbalanced="0"/>
    <cacheHierarchy uniqueName="[A2020].[nombre_tipo_cuenta]" caption="nombre_tipo_cuenta" attribute="1" defaultMemberUniqueName="[A2020].[nombre_tipo_cuenta].[All]" allUniqueName="[A2020].[nombre_tipo_cuenta].[All]" dimensionUniqueName="[A2020]" displayFolder="" count="0" memberValueDatatype="130" unbalanced="0"/>
    <cacheHierarchy uniqueName="[A2020].[tipo_unidad]" caption="tipo_unidad" attribute="1" defaultMemberUniqueName="[A2020].[tipo_unidad].[All]" allUniqueName="[A2020].[tipo_unidad].[All]" dimensionUniqueName="[A2020]" displayFolder="" count="0" memberValueDatatype="130" unbalanced="0"/>
    <cacheHierarchy uniqueName="[A2020].[nombre_tipo_unidad]" caption="nombre_tipo_unidad" attribute="1" defaultMemberUniqueName="[A2020].[nombre_tipo_unidad].[All]" allUniqueName="[A2020].[nombre_tipo_unidad].[All]" dimensionUniqueName="[A2020]" displayFolder="" count="0" memberValueDatatype="130" unbalanced="0"/>
    <cacheHierarchy uniqueName="[A2020].[tipo_programa]" caption="tipo_programa" attribute="1" defaultMemberUniqueName="[A2020].[tipo_programa].[All]" allUniqueName="[A2020].[tipo_programa].[All]" dimensionUniqueName="[A2020]" displayFolder="" count="0" memberValueDatatype="130" unbalanced="0"/>
    <cacheHierarchy uniqueName="[A2020].[nombre_tipo_programa]" caption="nombre_tipo_programa" attribute="1" defaultMemberUniqueName="[A2020].[nombre_tipo_programa].[All]" allUniqueName="[A2020].[nombre_tipo_programa].[All]" dimensionUniqueName="[A2020]" displayFolder="" count="0" memberValueDatatype="130" unbalanced="0"/>
    <cacheHierarchy uniqueName="[A2020].[nombre_metodologia]" caption="nombre_metodologia" attribute="1" defaultMemberUniqueName="[A2020].[nombre_metodologia].[All]" allUniqueName="[A2020].[nombre_metodologia].[All]" dimensionUniqueName="[A2020]" displayFolder="" count="0" memberValueDatatype="130" unbalanced="0"/>
    <cacheHierarchy uniqueName="[A2020].[tipo_departamento]" caption="tipo_departamento" attribute="1" defaultMemberUniqueName="[A2020].[tipo_departamento].[All]" allUniqueName="[A2020].[tipo_departamento].[All]" dimensionUniqueName="[A2020]" displayFolder="" count="0" memberValueDatatype="130" unbalanced="0"/>
    <cacheHierarchy uniqueName="[A2020].[horizonte]" caption="horizonte" attribute="1" defaultMemberUniqueName="[A2020].[horizonte].[All]" allUniqueName="[A2020].[horizonte].[All]" dimensionUniqueName="[A2020]" displayFolder="" count="0" memberValueDatatype="130" unbalanced="0"/>
    <cacheHierarchy uniqueName="[IF].[ano]" caption="ano" attribute="1" defaultMemberUniqueName="[IF].[ano].[All]" allUniqueName="[IF].[ano].[All]" dimensionUniqueName="[IF]" displayFolder="" count="0" memberValueDatatype="20" unbalanced="0"/>
    <cacheHierarchy uniqueName="[IF].[mes]" caption="mes" attribute="1" defaultMemberUniqueName="[IF].[mes].[All]" allUniqueName="[IF].[mes].[All]" dimensionUniqueName="[IF]" displayFolder="" count="0" memberValueDatatype="20" unbalanced="0"/>
    <cacheHierarchy uniqueName="[IF].[cuenta_ppto]" caption="cuenta_ppto" attribute="1" defaultMemberUniqueName="[IF].[cuenta_ppto].[All]" allUniqueName="[IF].[cuenta_ppto].[All]" dimensionUniqueName="[IF]" displayFolder="" count="0" memberValueDatatype="130" unbalanced="0"/>
    <cacheHierarchy uniqueName="[IF].[nombre_cuenta]" caption="nombre_cuenta" attribute="1" defaultMemberUniqueName="[IF].[nombre_cuenta].[All]" allUniqueName="[IF].[nombre_cuenta].[All]" dimensionUniqueName="[IF]" displayFolder="" count="0" memberValueDatatype="130" unbalanced="0"/>
    <cacheHierarchy uniqueName="[IF].[grupo_cuenta]" caption="grupo_cuenta" attribute="1" defaultMemberUniqueName="[IF].[grupo_cuenta].[All]" allUniqueName="[IF].[grupo_cuenta].[All]" dimensionUniqueName="[IF]" displayFolder="" count="0" memberValueDatatype="130" unbalanced="0"/>
    <cacheHierarchy uniqueName="[IF].[grupo_analisis]" caption="grupo_analisis" attribute="1" defaultMemberUniqueName="[IF].[grupo_analisis].[All]" allUniqueName="[IF].[grupo_analisis].[All]" dimensionUniqueName="[IF]" displayFolder="" count="0" memberValueDatatype="130" unbalanced="0"/>
    <cacheHierarchy uniqueName="[IF].[valor]" caption="valor" attribute="1" defaultMemberUniqueName="[IF].[valor].[All]" allUniqueName="[IF].[valor].[All]" dimensionUniqueName="[IF]" displayFolder="" count="0" memberValueDatatype="5" unbalanced="0"/>
    <cacheHierarchy uniqueName="[IF].[informacion]" caption="informacion" attribute="1" defaultMemberUniqueName="[IF].[informacion].[All]" allUniqueName="[IF].[informacion].[All]" dimensionUniqueName="[IF]" displayFolder="" count="0" memberValueDatatype="130" unbalanced="0"/>
    <cacheHierarchy uniqueName="[IF].[departamento_padre]" caption="departamento_padre" attribute="1" defaultMemberUniqueName="[IF].[departamento_padre].[All]" allUniqueName="[IF].[departamento_padre].[All]" dimensionUniqueName="[IF]" displayFolder="" count="0" memberValueDatatype="130" unbalanced="0"/>
    <cacheHierarchy uniqueName="[IF].[departamento_hijo]" caption="departamento_hijo" attribute="1" defaultMemberUniqueName="[IF].[departamento_hijo].[All]" allUniqueName="[IF].[departamento_hijo].[All]" dimensionUniqueName="[IF]" displayFolder="" count="0" memberValueDatatype="130" unbalanced="0"/>
    <cacheHierarchy uniqueName="[IF].[departamento_jerarquia1]" caption="departamento_jerarquia1" attribute="1" defaultMemberUniqueName="[IF].[departamento_jerarquia1].[All]" allUniqueName="[IF].[departamento_jerarquia1].[All]" dimensionUniqueName="[IF]" displayFolder="" count="0" memberValueDatatype="130" unbalanced="0"/>
    <cacheHierarchy uniqueName="[IF].[departamento_jerarquia2]" caption="departamento_jerarquia2" attribute="1" defaultMemberUniqueName="[IF].[departamento_jerarquia2].[All]" allUniqueName="[IF].[departamento_jerarquia2].[All]" dimensionUniqueName="[IF]" displayFolder="" count="0" memberValueDatatype="130" unbalanced="0"/>
    <cacheHierarchy uniqueName="[IF].[nombre_departamento_padre]" caption="nombre_departamento_padre" attribute="1" defaultMemberUniqueName="[IF].[nombre_departamento_padre].[All]" allUniqueName="[IF].[nombre_departamento_padre].[All]" dimensionUniqueName="[IF]" displayFolder="" count="0" memberValueDatatype="130" unbalanced="0"/>
    <cacheHierarchy uniqueName="[IF].[numero_nivel]" caption="numero_nivel" attribute="1" defaultMemberUniqueName="[IF].[numero_nivel].[All]" allUniqueName="[IF].[numero_nivel].[All]" dimensionUniqueName="[IF]" displayFolder="" count="0" memberValueDatatype="20" unbalanced="0"/>
    <cacheHierarchy uniqueName="[IF].[nombre_departamento_hijo]" caption="nombre_departamento_hijo" attribute="1" defaultMemberUniqueName="[IF].[nombre_departamento_hijo].[All]" allUniqueName="[IF].[nombre_departamento_hijo].[All]" dimensionUniqueName="[IF]" displayFolder="" count="0" memberValueDatatype="130" unbalanced="0"/>
    <cacheHierarchy uniqueName="[IF].[proyecto]" caption="proyecto" attribute="1" defaultMemberUniqueName="[IF].[proyecto].[All]" allUniqueName="[IF].[proyecto].[All]" dimensionUniqueName="[IF]" displayFolder="" count="0" memberValueDatatype="130" unbalanced="0"/>
    <cacheHierarchy uniqueName="[IF].[grupo_jerarquia]" caption="grupo_jerarquia" attribute="1" defaultMemberUniqueName="[IF].[grupo_jerarquia].[All]" allUniqueName="[IF].[grupo_jerarquia].[All]" dimensionUniqueName="[IF]" displayFolder="" count="0" memberValueDatatype="130" unbalanced="0"/>
    <cacheHierarchy uniqueName="[IF].[nombre_grupo_jerarquia]" caption="nombre_grupo_jerarquia" attribute="1" defaultMemberUniqueName="[IF].[nombre_grupo_jerarquia].[All]" allUniqueName="[IF].[nombre_grupo_jerarquia].[All]" dimensionUniqueName="[IF]" displayFolder="" count="0" memberValueDatatype="130" unbalanced="0"/>
    <cacheHierarchy uniqueName="[IF].[tipo_cuenta]" caption="tipo_cuenta" attribute="1" defaultMemberUniqueName="[IF].[tipo_cuenta].[All]" allUniqueName="[IF].[tipo_cuenta].[All]" dimensionUniqueName="[IF]" displayFolder="" count="0" memberValueDatatype="130" unbalanced="0"/>
    <cacheHierarchy uniqueName="[IF].[nombre_tipo_cuenta]" caption="nombre_tipo_cuenta" attribute="1" defaultMemberUniqueName="[IF].[nombre_tipo_cuenta].[All]" allUniqueName="[IF].[nombre_tipo_cuenta].[All]" dimensionUniqueName="[IF]" displayFolder="" count="0" memberValueDatatype="130" unbalanced="0"/>
    <cacheHierarchy uniqueName="[IF].[tipo_unidad]" caption="tipo_unidad" attribute="1" defaultMemberUniqueName="[IF].[tipo_unidad].[All]" allUniqueName="[IF].[tipo_unidad].[All]" dimensionUniqueName="[IF]" displayFolder="" count="0" memberValueDatatype="130" unbalanced="0"/>
    <cacheHierarchy uniqueName="[IF].[nombre_tipo_unidad]" caption="nombre_tipo_unidad" attribute="1" defaultMemberUniqueName="[IF].[nombre_tipo_unidad].[All]" allUniqueName="[IF].[nombre_tipo_unidad].[All]" dimensionUniqueName="[IF]" displayFolder="" count="0" memberValueDatatype="130" unbalanced="0"/>
    <cacheHierarchy uniqueName="[IF].[tipo_programa]" caption="tipo_programa" attribute="1" defaultMemberUniqueName="[IF].[tipo_programa].[All]" allUniqueName="[IF].[tipo_programa].[All]" dimensionUniqueName="[IF]" displayFolder="" count="0" memberValueDatatype="130" unbalanced="0"/>
    <cacheHierarchy uniqueName="[IF].[nombre_tipo_programa]" caption="nombre_tipo_programa" attribute="1" defaultMemberUniqueName="[IF].[nombre_tipo_programa].[All]" allUniqueName="[IF].[nombre_tipo_programa].[All]" dimensionUniqueName="[IF]" displayFolder="" count="0" memberValueDatatype="130" unbalanced="0"/>
    <cacheHierarchy uniqueName="[IF].[nombre_metodologia]" caption="nombre_metodologia" attribute="1" defaultMemberUniqueName="[IF].[nombre_metodologia].[All]" allUniqueName="[IF].[nombre_metodologia].[All]" dimensionUniqueName="[IF]" displayFolder="" count="0" memberValueDatatype="130" unbalanced="0"/>
    <cacheHierarchy uniqueName="[IF].[tipo_departamento]" caption="tipo_departamento" attribute="1" defaultMemberUniqueName="[IF].[tipo_departamento].[All]" allUniqueName="[IF].[tipo_departamento].[All]" dimensionUniqueName="[IF]" displayFolder="" count="0" memberValueDatatype="130" unbalanced="0"/>
    <cacheHierarchy uniqueName="[IF].[horizonte]" caption="horizonte" attribute="1" defaultMemberUniqueName="[IF].[horizonte].[All]" allUniqueName="[IF].[horizonte].[All]" dimensionUniqueName="[IF]" displayFolder="" count="0" memberValueDatatype="130" unbalanced="0"/>
    <cacheHierarchy uniqueName="[poblacion_postgrado].[ano]" caption="ano" attribute="1" defaultMemberUniqueName="[poblacion_postgrado].[ano].[All]" allUniqueName="[poblacion_postgrado].[ano].[All]" dimensionUniqueName="[poblacion_postgrado]" displayFolder="" count="0" memberValueDatatype="20" unbalanced="0"/>
    <cacheHierarchy uniqueName="[poblacion_postgrado].[periodo]" caption="periodo" attribute="1" defaultMemberUniqueName="[poblacion_postgrado].[periodo].[All]" allUniqueName="[poblacion_postgrado].[periodo].[All]" dimensionUniqueName="[poblacion_postgrado]" displayFolder="" count="0" memberValueDatatype="130" unbalanced="0"/>
    <cacheHierarchy uniqueName="[poblacion_postgrado].[semestre]" caption="semestre" attribute="1" defaultMemberUniqueName="[poblacion_postgrado].[semestre].[All]" allUniqueName="[poblacion_postgrado].[semestre].[All]" dimensionUniqueName="[poblacion_postgrado]" displayFolder="" count="0" memberValueDatatype="20" unbalanced="0"/>
    <cacheHierarchy uniqueName="[poblacion_postgrado].[fecha]" caption="fecha" attribute="1" defaultMemberUniqueName="[poblacion_postgrado].[fecha].[All]" allUniqueName="[poblacion_postgrado].[fecha].[All]" dimensionUniqueName="[poblacion_postgrado]" displayFolder="" count="0" memberValueDatatype="130" unbalanced="0"/>
    <cacheHierarchy uniqueName="[poblacion_postgrado].[departamento_padre]" caption="departamento_padre" attribute="1" defaultMemberUniqueName="[poblacion_postgrado].[departamento_padre].[All]" allUniqueName="[poblacion_postgrado].[departamento_padre].[All]" dimensionUniqueName="[poblacion_postgrado]" displayFolder="" count="0" memberValueDatatype="130" unbalanced="0"/>
    <cacheHierarchy uniqueName="[poblacion_postgrado].[nombre_departamento_padre]" caption="nombre_departamento_padre" attribute="1" defaultMemberUniqueName="[poblacion_postgrado].[nombre_departamento_padre].[All]" allUniqueName="[poblacion_postgrado].[nombre_departamento_padre].[All]" dimensionUniqueName="[poblacion_postgrado]" displayFolder="" count="0" memberValueDatatype="130" unbalanced="0"/>
    <cacheHierarchy uniqueName="[poblacion_postgrado].[departamento]" caption="departamento" attribute="1" defaultMemberUniqueName="[poblacion_postgrado].[departamento].[All]" allUniqueName="[poblacion_postgrado].[departamento].[All]" dimensionUniqueName="[poblacion_postgrado]" displayFolder="" count="0" memberValueDatatype="130" unbalanced="0"/>
    <cacheHierarchy uniqueName="[poblacion_postgrado].[nombre_departamento_hijo]" caption="nombre_departamento_hijo" attribute="1" defaultMemberUniqueName="[poblacion_postgrado].[nombre_departamento_hijo].[All]" allUniqueName="[poblacion_postgrado].[nombre_departamento_hijo].[All]" dimensionUniqueName="[poblacion_postgrado]" displayFolder="" count="0" memberValueDatatype="130" unbalanced="0"/>
    <cacheHierarchy uniqueName="[poblacion_postgrado].[tipo_programa]" caption="tipo_programa" attribute="1" defaultMemberUniqueName="[poblacion_postgrado].[tipo_programa].[All]" allUniqueName="[poblacion_postgrado].[tipo_programa].[All]" dimensionUniqueName="[poblacion_postgrado]" displayFolder="" count="0" memberValueDatatype="130" unbalanced="0"/>
    <cacheHierarchy uniqueName="[poblacion_postgrado].[nombre_tipo_programa]" caption="nombre_tipo_programa" attribute="1" defaultMemberUniqueName="[poblacion_postgrado].[nombre_tipo_programa].[All]" allUniqueName="[poblacion_postgrado].[nombre_tipo_programa].[All]" dimensionUniqueName="[poblacion_postgrado]" displayFolder="" count="0" memberValueDatatype="130" unbalanced="0"/>
    <cacheHierarchy uniqueName="[poblacion_postgrado].[nombre_metodologia]" caption="nombre_metodologia" attribute="1" defaultMemberUniqueName="[poblacion_postgrado].[nombre_metodologia].[All]" allUniqueName="[poblacion_postgrado].[nombre_metodologia].[All]" dimensionUniqueName="[poblacion_postgrado]" displayFolder="" count="0" memberValueDatatype="130" unbalanced="0"/>
    <cacheHierarchy uniqueName="[poblacion_postgrado].[ppto_nuevos]" caption="ppto_nuevos" attribute="1" defaultMemberUniqueName="[poblacion_postgrado].[ppto_nuevos].[All]" allUniqueName="[poblacion_postgrado].[ppto_nuevos].[All]" dimensionUniqueName="[poblacion_postgrado]" displayFolder="" count="0" memberValueDatatype="20" unbalanced="0"/>
    <cacheHierarchy uniqueName="[poblacion_postgrado].[ppto_antiguos]" caption="ppto_antiguos" attribute="1" defaultMemberUniqueName="[poblacion_postgrado].[ppto_antiguos].[All]" allUniqueName="[poblacion_postgrado].[ppto_antiguos].[All]" dimensionUniqueName="[poblacion_postgrado]" displayFolder="" count="0" memberValueDatatype="20" unbalanced="0"/>
    <cacheHierarchy uniqueName="[poblacion_postgrado].[real_nuevos]" caption="real_nuevos" attribute="1" defaultMemberUniqueName="[poblacion_postgrado].[real_nuevos].[All]" allUniqueName="[poblacion_postgrado].[real_nuevos].[All]" dimensionUniqueName="[poblacion_postgrado]" displayFolder="" count="0" memberValueDatatype="20" unbalanced="0"/>
    <cacheHierarchy uniqueName="[poblacion_postgrado].[real_antiguos]" caption="real_antiguos" attribute="1" defaultMemberUniqueName="[poblacion_postgrado].[real_antiguos].[All]" allUniqueName="[poblacion_postgrado].[real_antiguos].[All]" dimensionUniqueName="[poblacion_postgrado]" displayFolder="" count="0" memberValueDatatype="20" unbalanced="0"/>
    <cacheHierarchy uniqueName="[poblacion_postgrado].[ppto]" caption="ppto" attribute="1" defaultMemberUniqueName="[poblacion_postgrado].[ppto].[All]" allUniqueName="[poblacion_postgrado].[ppto].[All]" dimensionUniqueName="[poblacion_postgrado]" displayFolder="" count="0" memberValueDatatype="20" unbalanced="0"/>
    <cacheHierarchy uniqueName="[poblacion_postgrado].[real]" caption="real" attribute="1" defaultMemberUniqueName="[poblacion_postgrado].[real].[All]" allUniqueName="[poblacion_postgrado].[real].[All]" dimensionUniqueName="[poblacion_postgrado]" displayFolder="" count="0" memberValueDatatype="20" unbalanced="0"/>
    <cacheHierarchy uniqueName="[poblacion_postgrado].[diferencia]" caption="diferencia" attribute="1" defaultMemberUniqueName="[poblacion_postgrado].[diferencia].[All]" allUniqueName="[poblacion_postgrado].[diferencia].[All]" dimensionUniqueName="[poblacion_postgrado]" displayFolder="" count="0" memberValueDatatype="20" unbalanced="0"/>
    <cacheHierarchy uniqueName="[poblacion_pregrado].[ano]" caption="ano" attribute="1" defaultMemberUniqueName="[poblacion_pregrado].[ano].[All]" allUniqueName="[poblacion_pregrado].[ano].[All]" dimensionUniqueName="[poblacion_pregrado]" displayFolder="" count="0" memberValueDatatype="20" unbalanced="0"/>
    <cacheHierarchy uniqueName="[poblacion_pregrado].[periodo]" caption="periodo" attribute="1" defaultMemberUniqueName="[poblacion_pregrado].[periodo].[All]" allUniqueName="[poblacion_pregrado].[periodo].[All]" dimensionUniqueName="[poblacion_pregrado]" displayFolder="" count="0" memberValueDatatype="130" unbalanced="0"/>
    <cacheHierarchy uniqueName="[poblacion_pregrado].[semestre]" caption="semestre" attribute="1" defaultMemberUniqueName="[poblacion_pregrado].[semestre].[All]" allUniqueName="[poblacion_pregrado].[semestre].[All]" dimensionUniqueName="[poblacion_pregrado]" displayFolder="" count="0" memberValueDatatype="20" unbalanced="0"/>
    <cacheHierarchy uniqueName="[poblacion_pregrado].[departamento_padre]" caption="departamento_padre" attribute="1" defaultMemberUniqueName="[poblacion_pregrado].[departamento_padre].[All]" allUniqueName="[poblacion_pregrado].[departamento_padre].[All]" dimensionUniqueName="[poblacion_pregrado]" displayFolder="" count="0" memberValueDatatype="130" unbalanced="0"/>
    <cacheHierarchy uniqueName="[poblacion_pregrado].[nombre_departamento_padre]" caption="nombre_departamento_padre" attribute="1" defaultMemberUniqueName="[poblacion_pregrado].[nombre_departamento_padre].[All]" allUniqueName="[poblacion_pregrado].[nombre_departamento_padre].[All]" dimensionUniqueName="[poblacion_pregrado]" displayFolder="" count="0" memberValueDatatype="130" unbalanced="0"/>
    <cacheHierarchy uniqueName="[poblacion_pregrado].[departamento]" caption="departamento" attribute="1" defaultMemberUniqueName="[poblacion_pregrado].[departamento].[All]" allUniqueName="[poblacion_pregrado].[departamento].[All]" dimensionUniqueName="[poblacion_pregrado]" displayFolder="" count="0" memberValueDatatype="130" unbalanced="0"/>
    <cacheHierarchy uniqueName="[poblacion_pregrado].[nombre_departamento_hijo]" caption="nombre_departamento_hijo" attribute="1" defaultMemberUniqueName="[poblacion_pregrado].[nombre_departamento_hijo].[All]" allUniqueName="[poblacion_pregrado].[nombre_departamento_hijo].[All]" dimensionUniqueName="[poblacion_pregrado]" displayFolder="" count="0" memberValueDatatype="130" unbalanced="0"/>
    <cacheHierarchy uniqueName="[poblacion_pregrado].[nombre_tipo_estudiante]" caption="nombre_tipo_estudiante" attribute="1" defaultMemberUniqueName="[poblacion_pregrado].[nombre_tipo_estudiante].[All]" allUniqueName="[poblacion_pregrado].[nombre_tipo_estudiante].[All]" dimensionUniqueName="[poblacion_pregrado]" displayFolder="" count="0" memberValueDatatype="130" unbalanced="0"/>
    <cacheHierarchy uniqueName="[poblacion_pregrado].[ppto_nuevos]" caption="ppto_nuevos" attribute="1" defaultMemberUniqueName="[poblacion_pregrado].[ppto_nuevos].[All]" allUniqueName="[poblacion_pregrado].[ppto_nuevos].[All]" dimensionUniqueName="[poblacion_pregrado]" displayFolder="" count="0" memberValueDatatype="5" unbalanced="0"/>
    <cacheHierarchy uniqueName="[poblacion_pregrado].[ppto_antiguos]" caption="ppto_antiguos" attribute="1" defaultMemberUniqueName="[poblacion_pregrado].[ppto_antiguos].[All]" allUniqueName="[poblacion_pregrado].[ppto_antiguos].[All]" dimensionUniqueName="[poblacion_pregrado]" displayFolder="" count="0" memberValueDatatype="5" unbalanced="0"/>
    <cacheHierarchy uniqueName="[poblacion_pregrado].[real_nuevos]" caption="real_nuevos" attribute="1" defaultMemberUniqueName="[poblacion_pregrado].[real_nuevos].[All]" allUniqueName="[poblacion_pregrado].[real_nuevos].[All]" dimensionUniqueName="[poblacion_pregrado]" displayFolder="" count="0" memberValueDatatype="5" unbalanced="0"/>
    <cacheHierarchy uniqueName="[poblacion_pregrado].[real_antiguos]" caption="real_antiguos" attribute="1" defaultMemberUniqueName="[poblacion_pregrado].[real_antiguos].[All]" allUniqueName="[poblacion_pregrado].[real_antiguos].[All]" dimensionUniqueName="[poblacion_pregrado]" displayFolder="" count="0" memberValueDatatype="5" unbalanced="0"/>
    <cacheHierarchy uniqueName="[poblacion_pregrado].[ppto]" caption="ppto" attribute="1" defaultMemberUniqueName="[poblacion_pregrado].[ppto].[All]" allUniqueName="[poblacion_pregrado].[ppto].[All]" dimensionUniqueName="[poblacion_pregrado]" displayFolder="" count="0" memberValueDatatype="5" unbalanced="0"/>
    <cacheHierarchy uniqueName="[poblacion_pregrado].[real]" caption="real" attribute="1" defaultMemberUniqueName="[poblacion_pregrado].[real].[All]" allUniqueName="[poblacion_pregrado].[real].[All]" dimensionUniqueName="[poblacion_pregrado]" displayFolder="" count="0" memberValueDatatype="5" unbalanced="0"/>
    <cacheHierarchy uniqueName="[poblacion_pregrado].[diferencia]" caption="diferencia" attribute="1" defaultMemberUniqueName="[poblacion_pregrado].[diferencia].[All]" allUniqueName="[poblacion_pregrado].[diferencia].[All]" dimensionUniqueName="[poblacion_pregrado]" displayFolder="" count="0" memberValueDatatype="5" unbalanced="0"/>
    <cacheHierarchy uniqueName="[Measures].[__XL_Count A2020]" caption="__XL_Count A2020" measure="1" displayFolder="" measureGroup="A2020" count="0" hidden="1"/>
    <cacheHierarchy uniqueName="[Measures].[__XL_Count IF]" caption="__XL_Count IF" measure="1" displayFolder="" measureGroup="IF" count="0" hidden="1"/>
    <cacheHierarchy uniqueName="[Measures].[__XL_Count poblacion_pregrado]" caption="__XL_Count poblacion_pregrado" measure="1" displayFolder="" measureGroup="poblacion_pregrado" count="0" hidden="1"/>
    <cacheHierarchy uniqueName="[Measures].[__XL_Count poblacion_postgrado]" caption="__XL_Count poblacion_postgrado" measure="1" displayFolder="" measureGroup="poblacion_postgrado" count="0" hidden="1"/>
    <cacheHierarchy uniqueName="[Measures].[__No measures defined]" caption="__No measures defined" measure="1" displayFolder="" count="0" hidden="1"/>
    <cacheHierarchy uniqueName="[Measures].[Suma de valor]" caption="Suma de valor" measure="1" displayFolder="" measureGroup="IF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real]" caption="Suma de real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al_nuevos]" caption="Suma de real_nuev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real_antiguos]" caption="Suma de real_antigu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real 2]" caption="Suma de real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eal_nuevos 2]" caption="Suma de real_nuev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real_antiguos 2]" caption="Suma de real_antigu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</cacheHierarchies>
  <kpis count="0"/>
  <dimensions count="5">
    <dimension name="A2020" uniqueName="[A2020]" caption="A2020"/>
    <dimension name="IF" uniqueName="[IF]" caption="IF"/>
    <dimension measure="1" name="Measures" uniqueName="[Measures]" caption="Measures"/>
    <dimension name="poblacion_postgrado" uniqueName="[poblacion_postgrado]" caption="poblacion_postgrado"/>
    <dimension name="poblacion_pregrado" uniqueName="[poblacion_pregrado]" caption="poblacion_pregrado"/>
  </dimensions>
  <measureGroups count="4">
    <measureGroup name="A2020" caption="A2020"/>
    <measureGroup name="IF" caption="IF"/>
    <measureGroup name="poblacion_postgrado" caption="poblacion_postgrado"/>
    <measureGroup name="poblacion_pregrado" caption="poblacion_pregrado"/>
  </measureGroups>
  <maps count="4">
    <map measureGroup="0" dimension="0"/>
    <map measureGroup="1" dimension="1"/>
    <map measureGroup="2" dimension="3"/>
    <map measureGroup="3" dimension="4"/>
  </maps>
  <extLst>
    <ext xmlns:x14="http://schemas.microsoft.com/office/spreadsheetml/2009/9/main" uri="{725AE2AE-9491-48be-B2B4-4EB974FC3084}">
      <x14:pivotCacheDefinition slicerData="1" pivotCacheId="399968312"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los Alberto Ceballos Gutierrez" refreshedDate="44383.587242824076" createdVersion="3" refreshedVersion="7" minRefreshableVersion="3" recordCount="0" supportSubquery="1" supportAdvancedDrill="1" xr:uid="{110CDF65-D207-4401-BDF0-B2B271D0A16A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99">
    <cacheHierarchy uniqueName="[A2020].[ano]" caption="ano" attribute="1" defaultMemberUniqueName="[A2020].[ano].[All]" allUniqueName="[A2020].[ano].[All]" dimensionUniqueName="[A2020]" displayFolder="" count="0" memberValueDatatype="20" unbalanced="0"/>
    <cacheHierarchy uniqueName="[A2020].[mes]" caption="mes" attribute="1" defaultMemberUniqueName="[A2020].[mes].[All]" allUniqueName="[A2020].[mes].[All]" dimensionUniqueName="[A2020]" displayFolder="" count="0" memberValueDatatype="20" unbalanced="0"/>
    <cacheHierarchy uniqueName="[A2020].[cuenta_ppto]" caption="cuenta_ppto" attribute="1" defaultMemberUniqueName="[A2020].[cuenta_ppto].[All]" allUniqueName="[A2020].[cuenta_ppto].[All]" dimensionUniqueName="[A2020]" displayFolder="" count="0" memberValueDatatype="130" unbalanced="0"/>
    <cacheHierarchy uniqueName="[A2020].[nombre_cuenta]" caption="nombre_cuenta" attribute="1" defaultMemberUniqueName="[A2020].[nombre_cuenta].[All]" allUniqueName="[A2020].[nombre_cuenta].[All]" dimensionUniqueName="[A2020]" displayFolder="" count="0" memberValueDatatype="130" unbalanced="0"/>
    <cacheHierarchy uniqueName="[A2020].[grupo_cuenta]" caption="grupo_cuenta" attribute="1" defaultMemberUniqueName="[A2020].[grupo_cuenta].[All]" allUniqueName="[A2020].[grupo_cuenta].[All]" dimensionUniqueName="[A2020]" displayFolder="" count="0" memberValueDatatype="130" unbalanced="0"/>
    <cacheHierarchy uniqueName="[A2020].[grupo_analisis]" caption="grupo_analisis" attribute="1" defaultMemberUniqueName="[A2020].[grupo_analisis].[All]" allUniqueName="[A2020].[grupo_analisis].[All]" dimensionUniqueName="[A2020]" displayFolder="" count="0" memberValueDatatype="130" unbalanced="0"/>
    <cacheHierarchy uniqueName="[A2020].[valor]" caption="valor" attribute="1" defaultMemberUniqueName="[A2020].[valor].[All]" allUniqueName="[A2020].[valor].[All]" dimensionUniqueName="[A2020]" displayFolder="" count="0" memberValueDatatype="5" unbalanced="0"/>
    <cacheHierarchy uniqueName="[A2020].[informacion]" caption="informacion" attribute="1" defaultMemberUniqueName="[A2020].[informacion].[All]" allUniqueName="[A2020].[informacion].[All]" dimensionUniqueName="[A2020]" displayFolder="" count="0" memberValueDatatype="130" unbalanced="0"/>
    <cacheHierarchy uniqueName="[A2020].[departamento_padre]" caption="departamento_padre" attribute="1" defaultMemberUniqueName="[A2020].[departamento_padre].[All]" allUniqueName="[A2020].[departamento_padre].[All]" dimensionUniqueName="[A2020]" displayFolder="" count="0" memberValueDatatype="130" unbalanced="0"/>
    <cacheHierarchy uniqueName="[A2020].[departamento_hijo]" caption="departamento_hijo" attribute="1" defaultMemberUniqueName="[A2020].[departamento_hijo].[All]" allUniqueName="[A2020].[departamento_hijo].[All]" dimensionUniqueName="[A2020]" displayFolder="" count="0" memberValueDatatype="130" unbalanced="0"/>
    <cacheHierarchy uniqueName="[A2020].[departamento_jerarquia1]" caption="departamento_jerarquia1" attribute="1" defaultMemberUniqueName="[A2020].[departamento_jerarquia1].[All]" allUniqueName="[A2020].[departamento_jerarquia1].[All]" dimensionUniqueName="[A2020]" displayFolder="" count="0" memberValueDatatype="130" unbalanced="0"/>
    <cacheHierarchy uniqueName="[A2020].[departamento_jerarquia2]" caption="departamento_jerarquia2" attribute="1" defaultMemberUniqueName="[A2020].[departamento_jerarquia2].[All]" allUniqueName="[A2020].[departamento_jerarquia2].[All]" dimensionUniqueName="[A2020]" displayFolder="" count="0" memberValueDatatype="130" unbalanced="0"/>
    <cacheHierarchy uniqueName="[A2020].[nombre_departamento_padre]" caption="nombre_departamento_padre" attribute="1" defaultMemberUniqueName="[A2020].[nombre_departamento_padre].[All]" allUniqueName="[A2020].[nombre_departamento_padre].[All]" dimensionUniqueName="[A2020]" displayFolder="" count="0" memberValueDatatype="130" unbalanced="0"/>
    <cacheHierarchy uniqueName="[A2020].[numero_nivel]" caption="numero_nivel" attribute="1" defaultMemberUniqueName="[A2020].[numero_nivel].[All]" allUniqueName="[A2020].[numero_nivel].[All]" dimensionUniqueName="[A2020]" displayFolder="" count="0" memberValueDatatype="20" unbalanced="0"/>
    <cacheHierarchy uniqueName="[A2020].[nombre_departamento_hijo]" caption="nombre_departamento_hijo" attribute="1" defaultMemberUniqueName="[A2020].[nombre_departamento_hijo].[All]" allUniqueName="[A2020].[nombre_departamento_hijo].[All]" dimensionUniqueName="[A2020]" displayFolder="" count="0" memberValueDatatype="130" unbalanced="0"/>
    <cacheHierarchy uniqueName="[A2020].[proyecto]" caption="proyecto" attribute="1" defaultMemberUniqueName="[A2020].[proyecto].[All]" allUniqueName="[A2020].[proyecto].[All]" dimensionUniqueName="[A2020]" displayFolder="" count="0" memberValueDatatype="130" unbalanced="0"/>
    <cacheHierarchy uniqueName="[A2020].[grupo_jerarquia]" caption="grupo_jerarquia" attribute="1" defaultMemberUniqueName="[A2020].[grupo_jerarquia].[All]" allUniqueName="[A2020].[grupo_jerarquia].[All]" dimensionUniqueName="[A2020]" displayFolder="" count="0" memberValueDatatype="130" unbalanced="0"/>
    <cacheHierarchy uniqueName="[A2020].[nombre_grupo_jerarquia]" caption="nombre_grupo_jerarquia" attribute="1" defaultMemberUniqueName="[A2020].[nombre_grupo_jerarquia].[All]" allUniqueName="[A2020].[nombre_grupo_jerarquia].[All]" dimensionUniqueName="[A2020]" displayFolder="" count="0" memberValueDatatype="130" unbalanced="0"/>
    <cacheHierarchy uniqueName="[A2020].[tipo_cuenta]" caption="tipo_cuenta" attribute="1" defaultMemberUniqueName="[A2020].[tipo_cuenta].[All]" allUniqueName="[A2020].[tipo_cuenta].[All]" dimensionUniqueName="[A2020]" displayFolder="" count="0" memberValueDatatype="130" unbalanced="0"/>
    <cacheHierarchy uniqueName="[A2020].[nombre_tipo_cuenta]" caption="nombre_tipo_cuenta" attribute="1" defaultMemberUniqueName="[A2020].[nombre_tipo_cuenta].[All]" allUniqueName="[A2020].[nombre_tipo_cuenta].[All]" dimensionUniqueName="[A2020]" displayFolder="" count="0" memberValueDatatype="130" unbalanced="0"/>
    <cacheHierarchy uniqueName="[A2020].[tipo_unidad]" caption="tipo_unidad" attribute="1" defaultMemberUniqueName="[A2020].[tipo_unidad].[All]" allUniqueName="[A2020].[tipo_unidad].[All]" dimensionUniqueName="[A2020]" displayFolder="" count="0" memberValueDatatype="130" unbalanced="0"/>
    <cacheHierarchy uniqueName="[A2020].[nombre_tipo_unidad]" caption="nombre_tipo_unidad" attribute="1" defaultMemberUniqueName="[A2020].[nombre_tipo_unidad].[All]" allUniqueName="[A2020].[nombre_tipo_unidad].[All]" dimensionUniqueName="[A2020]" displayFolder="" count="0" memberValueDatatype="130" unbalanced="0"/>
    <cacheHierarchy uniqueName="[A2020].[tipo_programa]" caption="tipo_programa" attribute="1" defaultMemberUniqueName="[A2020].[tipo_programa].[All]" allUniqueName="[A2020].[tipo_programa].[All]" dimensionUniqueName="[A2020]" displayFolder="" count="0" memberValueDatatype="130" unbalanced="0"/>
    <cacheHierarchy uniqueName="[A2020].[nombre_tipo_programa]" caption="nombre_tipo_programa" attribute="1" defaultMemberUniqueName="[A2020].[nombre_tipo_programa].[All]" allUniqueName="[A2020].[nombre_tipo_programa].[All]" dimensionUniqueName="[A2020]" displayFolder="" count="0" memberValueDatatype="130" unbalanced="0"/>
    <cacheHierarchy uniqueName="[A2020].[nombre_metodologia]" caption="nombre_metodologia" attribute="1" defaultMemberUniqueName="[A2020].[nombre_metodologia].[All]" allUniqueName="[A2020].[nombre_metodologia].[All]" dimensionUniqueName="[A2020]" displayFolder="" count="0" memberValueDatatype="130" unbalanced="0"/>
    <cacheHierarchy uniqueName="[A2020].[tipo_departamento]" caption="tipo_departamento" attribute="1" defaultMemberUniqueName="[A2020].[tipo_departamento].[All]" allUniqueName="[A2020].[tipo_departamento].[All]" dimensionUniqueName="[A2020]" displayFolder="" count="0" memberValueDatatype="130" unbalanced="0"/>
    <cacheHierarchy uniqueName="[A2020].[horizonte]" caption="horizonte" attribute="1" defaultMemberUniqueName="[A2020].[horizonte].[All]" allUniqueName="[A2020].[horizonte].[All]" dimensionUniqueName="[A2020]" displayFolder="" count="0" memberValueDatatype="130" unbalanced="0"/>
    <cacheHierarchy uniqueName="[IF].[ano]" caption="ano" attribute="1" defaultMemberUniqueName="[IF].[ano].[All]" allUniqueName="[IF].[ano].[All]" dimensionUniqueName="[IF]" displayFolder="" count="0" memberValueDatatype="20" unbalanced="0"/>
    <cacheHierarchy uniqueName="[IF].[mes]" caption="mes" attribute="1" defaultMemberUniqueName="[IF].[mes].[All]" allUniqueName="[IF].[mes].[All]" dimensionUniqueName="[IF]" displayFolder="" count="0" memberValueDatatype="20" unbalanced="0"/>
    <cacheHierarchy uniqueName="[IF].[cuenta_ppto]" caption="cuenta_ppto" attribute="1" defaultMemberUniqueName="[IF].[cuenta_ppto].[All]" allUniqueName="[IF].[cuenta_ppto].[All]" dimensionUniqueName="[IF]" displayFolder="" count="0" memberValueDatatype="130" unbalanced="0"/>
    <cacheHierarchy uniqueName="[IF].[nombre_cuenta]" caption="nombre_cuenta" attribute="1" defaultMemberUniqueName="[IF].[nombre_cuenta].[All]" allUniqueName="[IF].[nombre_cuenta].[All]" dimensionUniqueName="[IF]" displayFolder="" count="0" memberValueDatatype="130" unbalanced="0"/>
    <cacheHierarchy uniqueName="[IF].[grupo_cuenta]" caption="grupo_cuenta" attribute="1" defaultMemberUniqueName="[IF].[grupo_cuenta].[All]" allUniqueName="[IF].[grupo_cuenta].[All]" dimensionUniqueName="[IF]" displayFolder="" count="0" memberValueDatatype="130" unbalanced="0"/>
    <cacheHierarchy uniqueName="[IF].[grupo_analisis]" caption="grupo_analisis" attribute="1" defaultMemberUniqueName="[IF].[grupo_analisis].[All]" allUniqueName="[IF].[grupo_analisis].[All]" dimensionUniqueName="[IF]" displayFolder="" count="0" memberValueDatatype="130" unbalanced="0"/>
    <cacheHierarchy uniqueName="[IF].[valor]" caption="valor" attribute="1" defaultMemberUniqueName="[IF].[valor].[All]" allUniqueName="[IF].[valor].[All]" dimensionUniqueName="[IF]" displayFolder="" count="0" memberValueDatatype="5" unbalanced="0"/>
    <cacheHierarchy uniqueName="[IF].[informacion]" caption="informacion" attribute="1" defaultMemberUniqueName="[IF].[informacion].[All]" allUniqueName="[IF].[informacion].[All]" dimensionUniqueName="[IF]" displayFolder="" count="0" memberValueDatatype="130" unbalanced="0"/>
    <cacheHierarchy uniqueName="[IF].[departamento_padre]" caption="departamento_padre" attribute="1" defaultMemberUniqueName="[IF].[departamento_padre].[All]" allUniqueName="[IF].[departamento_padre].[All]" dimensionUniqueName="[IF]" displayFolder="" count="0" memberValueDatatype="130" unbalanced="0"/>
    <cacheHierarchy uniqueName="[IF].[departamento_hijo]" caption="departamento_hijo" attribute="1" defaultMemberUniqueName="[IF].[departamento_hijo].[All]" allUniqueName="[IF].[departamento_hijo].[All]" dimensionUniqueName="[IF]" displayFolder="" count="0" memberValueDatatype="130" unbalanced="0"/>
    <cacheHierarchy uniqueName="[IF].[departamento_jerarquia1]" caption="departamento_jerarquia1" attribute="1" defaultMemberUniqueName="[IF].[departamento_jerarquia1].[All]" allUniqueName="[IF].[departamento_jerarquia1].[All]" dimensionUniqueName="[IF]" displayFolder="" count="0" memberValueDatatype="130" unbalanced="0"/>
    <cacheHierarchy uniqueName="[IF].[departamento_jerarquia2]" caption="departamento_jerarquia2" attribute="1" defaultMemberUniqueName="[IF].[departamento_jerarquia2].[All]" allUniqueName="[IF].[departamento_jerarquia2].[All]" dimensionUniqueName="[IF]" displayFolder="" count="0" memberValueDatatype="130" unbalanced="0"/>
    <cacheHierarchy uniqueName="[IF].[nombre_departamento_padre]" caption="nombre_departamento_padre" attribute="1" defaultMemberUniqueName="[IF].[nombre_departamento_padre].[All]" allUniqueName="[IF].[nombre_departamento_padre].[All]" dimensionUniqueName="[IF]" displayFolder="" count="0" memberValueDatatype="130" unbalanced="0"/>
    <cacheHierarchy uniqueName="[IF].[numero_nivel]" caption="numero_nivel" attribute="1" defaultMemberUniqueName="[IF].[numero_nivel].[All]" allUniqueName="[IF].[numero_nivel].[All]" dimensionUniqueName="[IF]" displayFolder="" count="0" memberValueDatatype="20" unbalanced="0"/>
    <cacheHierarchy uniqueName="[IF].[nombre_departamento_hijo]" caption="nombre_departamento_hijo" attribute="1" defaultMemberUniqueName="[IF].[nombre_departamento_hijo].[All]" allUniqueName="[IF].[nombre_departamento_hijo].[All]" dimensionUniqueName="[IF]" displayFolder="" count="0" memberValueDatatype="130" unbalanced="0"/>
    <cacheHierarchy uniqueName="[IF].[proyecto]" caption="proyecto" attribute="1" defaultMemberUniqueName="[IF].[proyecto].[All]" allUniqueName="[IF].[proyecto].[All]" dimensionUniqueName="[IF]" displayFolder="" count="0" memberValueDatatype="130" unbalanced="0"/>
    <cacheHierarchy uniqueName="[IF].[grupo_jerarquia]" caption="grupo_jerarquia" attribute="1" defaultMemberUniqueName="[IF].[grupo_jerarquia].[All]" allUniqueName="[IF].[grupo_jerarquia].[All]" dimensionUniqueName="[IF]" displayFolder="" count="0" memberValueDatatype="130" unbalanced="0"/>
    <cacheHierarchy uniqueName="[IF].[nombre_grupo_jerarquia]" caption="nombre_grupo_jerarquia" attribute="1" defaultMemberUniqueName="[IF].[nombre_grupo_jerarquia].[All]" allUniqueName="[IF].[nombre_grupo_jerarquia].[All]" dimensionUniqueName="[IF]" displayFolder="" count="0" memberValueDatatype="130" unbalanced="0"/>
    <cacheHierarchy uniqueName="[IF].[tipo_cuenta]" caption="tipo_cuenta" attribute="1" defaultMemberUniqueName="[IF].[tipo_cuenta].[All]" allUniqueName="[IF].[tipo_cuenta].[All]" dimensionUniqueName="[IF]" displayFolder="" count="0" memberValueDatatype="130" unbalanced="0"/>
    <cacheHierarchy uniqueName="[IF].[nombre_tipo_cuenta]" caption="nombre_tipo_cuenta" attribute="1" defaultMemberUniqueName="[IF].[nombre_tipo_cuenta].[All]" allUniqueName="[IF].[nombre_tipo_cuenta].[All]" dimensionUniqueName="[IF]" displayFolder="" count="0" memberValueDatatype="130" unbalanced="0"/>
    <cacheHierarchy uniqueName="[IF].[tipo_unidad]" caption="tipo_unidad" attribute="1" defaultMemberUniqueName="[IF].[tipo_unidad].[All]" allUniqueName="[IF].[tipo_unidad].[All]" dimensionUniqueName="[IF]" displayFolder="" count="0" memberValueDatatype="130" unbalanced="0"/>
    <cacheHierarchy uniqueName="[IF].[nombre_tipo_unidad]" caption="nombre_tipo_unidad" attribute="1" defaultMemberUniqueName="[IF].[nombre_tipo_unidad].[All]" allUniqueName="[IF].[nombre_tipo_unidad].[All]" dimensionUniqueName="[IF]" displayFolder="" count="0" memberValueDatatype="130" unbalanced="0"/>
    <cacheHierarchy uniqueName="[IF].[tipo_programa]" caption="tipo_programa" attribute="1" defaultMemberUniqueName="[IF].[tipo_programa].[All]" allUniqueName="[IF].[tipo_programa].[All]" dimensionUniqueName="[IF]" displayFolder="" count="0" memberValueDatatype="130" unbalanced="0"/>
    <cacheHierarchy uniqueName="[IF].[nombre_tipo_programa]" caption="nombre_tipo_programa" attribute="1" defaultMemberUniqueName="[IF].[nombre_tipo_programa].[All]" allUniqueName="[IF].[nombre_tipo_programa].[All]" dimensionUniqueName="[IF]" displayFolder="" count="0" memberValueDatatype="130" unbalanced="0"/>
    <cacheHierarchy uniqueName="[IF].[nombre_metodologia]" caption="nombre_metodologia" attribute="1" defaultMemberUniqueName="[IF].[nombre_metodologia].[All]" allUniqueName="[IF].[nombre_metodologia].[All]" dimensionUniqueName="[IF]" displayFolder="" count="0" memberValueDatatype="130" unbalanced="0"/>
    <cacheHierarchy uniqueName="[IF].[tipo_departamento]" caption="tipo_departamento" attribute="1" defaultMemberUniqueName="[IF].[tipo_departamento].[All]" allUniqueName="[IF].[tipo_departamento].[All]" dimensionUniqueName="[IF]" displayFolder="" count="0" memberValueDatatype="130" unbalanced="0"/>
    <cacheHierarchy uniqueName="[IF].[horizonte]" caption="horizonte" attribute="1" defaultMemberUniqueName="[IF].[horizonte].[All]" allUniqueName="[IF].[horizonte].[All]" dimensionUniqueName="[IF]" displayFolder="" count="0" memberValueDatatype="130" unbalanced="0"/>
    <cacheHierarchy uniqueName="[poblacion_postgrado].[ano]" caption="ano" attribute="1" defaultMemberUniqueName="[poblacion_postgrado].[ano].[All]" allUniqueName="[poblacion_postgrado].[ano].[All]" dimensionUniqueName="[poblacion_postgrado]" displayFolder="" count="0" memberValueDatatype="20" unbalanced="0"/>
    <cacheHierarchy uniqueName="[poblacion_postgrado].[periodo]" caption="periodo" attribute="1" defaultMemberUniqueName="[poblacion_postgrado].[periodo].[All]" allUniqueName="[poblacion_postgrado].[periodo].[All]" dimensionUniqueName="[poblacion_postgrado]" displayFolder="" count="0" memberValueDatatype="130" unbalanced="0"/>
    <cacheHierarchy uniqueName="[poblacion_postgrado].[semestre]" caption="semestre" attribute="1" defaultMemberUniqueName="[poblacion_postgrado].[semestre].[All]" allUniqueName="[poblacion_postgrado].[semestre].[All]" dimensionUniqueName="[poblacion_postgrado]" displayFolder="" count="0" memberValueDatatype="20" unbalanced="0"/>
    <cacheHierarchy uniqueName="[poblacion_postgrado].[fecha]" caption="fecha" attribute="1" defaultMemberUniqueName="[poblacion_postgrado].[fecha].[All]" allUniqueName="[poblacion_postgrado].[fecha].[All]" dimensionUniqueName="[poblacion_postgrado]" displayFolder="" count="0" memberValueDatatype="130" unbalanced="0"/>
    <cacheHierarchy uniqueName="[poblacion_postgrado].[departamento_padre]" caption="departamento_padre" attribute="1" defaultMemberUniqueName="[poblacion_postgrado].[departamento_padre].[All]" allUniqueName="[poblacion_postgrado].[departamento_padre].[All]" dimensionUniqueName="[poblacion_postgrado]" displayFolder="" count="0" memberValueDatatype="130" unbalanced="0"/>
    <cacheHierarchy uniqueName="[poblacion_postgrado].[nombre_departamento_padre]" caption="nombre_departamento_padre" attribute="1" defaultMemberUniqueName="[poblacion_postgrado].[nombre_departamento_padre].[All]" allUniqueName="[poblacion_postgrado].[nombre_departamento_padre].[All]" dimensionUniqueName="[poblacion_postgrado]" displayFolder="" count="0" memberValueDatatype="130" unbalanced="0"/>
    <cacheHierarchy uniqueName="[poblacion_postgrado].[departamento]" caption="departamento" attribute="1" defaultMemberUniqueName="[poblacion_postgrado].[departamento].[All]" allUniqueName="[poblacion_postgrado].[departamento].[All]" dimensionUniqueName="[poblacion_postgrado]" displayFolder="" count="0" memberValueDatatype="130" unbalanced="0"/>
    <cacheHierarchy uniqueName="[poblacion_postgrado].[nombre_departamento_hijo]" caption="nombre_departamento_hijo" attribute="1" defaultMemberUniqueName="[poblacion_postgrado].[nombre_departamento_hijo].[All]" allUniqueName="[poblacion_postgrado].[nombre_departamento_hijo].[All]" dimensionUniqueName="[poblacion_postgrado]" displayFolder="" count="0" memberValueDatatype="130" unbalanced="0"/>
    <cacheHierarchy uniqueName="[poblacion_postgrado].[tipo_programa]" caption="tipo_programa" attribute="1" defaultMemberUniqueName="[poblacion_postgrado].[tipo_programa].[All]" allUniqueName="[poblacion_postgrado].[tipo_programa].[All]" dimensionUniqueName="[poblacion_postgrado]" displayFolder="" count="0" memberValueDatatype="130" unbalanced="0"/>
    <cacheHierarchy uniqueName="[poblacion_postgrado].[nombre_tipo_programa]" caption="nombre_tipo_programa" attribute="1" defaultMemberUniqueName="[poblacion_postgrado].[nombre_tipo_programa].[All]" allUniqueName="[poblacion_postgrado].[nombre_tipo_programa].[All]" dimensionUniqueName="[poblacion_postgrado]" displayFolder="" count="0" memberValueDatatype="130" unbalanced="0"/>
    <cacheHierarchy uniqueName="[poblacion_postgrado].[nombre_metodologia]" caption="nombre_metodologia" attribute="1" defaultMemberUniqueName="[poblacion_postgrado].[nombre_metodologia].[All]" allUniqueName="[poblacion_postgrado].[nombre_metodologia].[All]" dimensionUniqueName="[poblacion_postgrado]" displayFolder="" count="0" memberValueDatatype="130" unbalanced="0"/>
    <cacheHierarchy uniqueName="[poblacion_postgrado].[ppto_nuevos]" caption="ppto_nuevos" attribute="1" defaultMemberUniqueName="[poblacion_postgrado].[ppto_nuevos].[All]" allUniqueName="[poblacion_postgrado].[ppto_nuevos].[All]" dimensionUniqueName="[poblacion_postgrado]" displayFolder="" count="0" memberValueDatatype="20" unbalanced="0"/>
    <cacheHierarchy uniqueName="[poblacion_postgrado].[ppto_antiguos]" caption="ppto_antiguos" attribute="1" defaultMemberUniqueName="[poblacion_postgrado].[ppto_antiguos].[All]" allUniqueName="[poblacion_postgrado].[ppto_antiguos].[All]" dimensionUniqueName="[poblacion_postgrado]" displayFolder="" count="0" memberValueDatatype="20" unbalanced="0"/>
    <cacheHierarchy uniqueName="[poblacion_postgrado].[real_nuevos]" caption="real_nuevos" attribute="1" defaultMemberUniqueName="[poblacion_postgrado].[real_nuevos].[All]" allUniqueName="[poblacion_postgrado].[real_nuevos].[All]" dimensionUniqueName="[poblacion_postgrado]" displayFolder="" count="0" memberValueDatatype="20" unbalanced="0"/>
    <cacheHierarchy uniqueName="[poblacion_postgrado].[real_antiguos]" caption="real_antiguos" attribute="1" defaultMemberUniqueName="[poblacion_postgrado].[real_antiguos].[All]" allUniqueName="[poblacion_postgrado].[real_antiguos].[All]" dimensionUniqueName="[poblacion_postgrado]" displayFolder="" count="0" memberValueDatatype="20" unbalanced="0"/>
    <cacheHierarchy uniqueName="[poblacion_postgrado].[ppto]" caption="ppto" attribute="1" defaultMemberUniqueName="[poblacion_postgrado].[ppto].[All]" allUniqueName="[poblacion_postgrado].[ppto].[All]" dimensionUniqueName="[poblacion_postgrado]" displayFolder="" count="0" memberValueDatatype="20" unbalanced="0"/>
    <cacheHierarchy uniqueName="[poblacion_postgrado].[real]" caption="real" attribute="1" defaultMemberUniqueName="[poblacion_postgrado].[real].[All]" allUniqueName="[poblacion_postgrado].[real].[All]" dimensionUniqueName="[poblacion_postgrado]" displayFolder="" count="0" memberValueDatatype="20" unbalanced="0"/>
    <cacheHierarchy uniqueName="[poblacion_postgrado].[diferencia]" caption="diferencia" attribute="1" defaultMemberUniqueName="[poblacion_postgrado].[diferencia].[All]" allUniqueName="[poblacion_postgrado].[diferencia].[All]" dimensionUniqueName="[poblacion_postgrado]" displayFolder="" count="0" memberValueDatatype="20" unbalanced="0"/>
    <cacheHierarchy uniqueName="[poblacion_pregrado].[ano]" caption="ano" attribute="1" defaultMemberUniqueName="[poblacion_pregrado].[ano].[All]" allUniqueName="[poblacion_pregrado].[ano].[All]" dimensionUniqueName="[poblacion_pregrado]" displayFolder="" count="0" memberValueDatatype="20" unbalanced="0"/>
    <cacheHierarchy uniqueName="[poblacion_pregrado].[periodo]" caption="periodo" attribute="1" defaultMemberUniqueName="[poblacion_pregrado].[periodo].[All]" allUniqueName="[poblacion_pregrado].[periodo].[All]" dimensionUniqueName="[poblacion_pregrado]" displayFolder="" count="0" memberValueDatatype="130" unbalanced="0"/>
    <cacheHierarchy uniqueName="[poblacion_pregrado].[semestre]" caption="semestre" attribute="1" defaultMemberUniqueName="[poblacion_pregrado].[semestre].[All]" allUniqueName="[poblacion_pregrado].[semestre].[All]" dimensionUniqueName="[poblacion_pregrado]" displayFolder="" count="0" memberValueDatatype="20" unbalanced="0"/>
    <cacheHierarchy uniqueName="[poblacion_pregrado].[departamento_padre]" caption="departamento_padre" attribute="1" defaultMemberUniqueName="[poblacion_pregrado].[departamento_padre].[All]" allUniqueName="[poblacion_pregrado].[departamento_padre].[All]" dimensionUniqueName="[poblacion_pregrado]" displayFolder="" count="0" memberValueDatatype="130" unbalanced="0"/>
    <cacheHierarchy uniqueName="[poblacion_pregrado].[nombre_departamento_padre]" caption="nombre_departamento_padre" attribute="1" defaultMemberUniqueName="[poblacion_pregrado].[nombre_departamento_padre].[All]" allUniqueName="[poblacion_pregrado].[nombre_departamento_padre].[All]" dimensionUniqueName="[poblacion_pregrado]" displayFolder="" count="0" memberValueDatatype="130" unbalanced="0"/>
    <cacheHierarchy uniqueName="[poblacion_pregrado].[departamento]" caption="departamento" attribute="1" defaultMemberUniqueName="[poblacion_pregrado].[departamento].[All]" allUniqueName="[poblacion_pregrado].[departamento].[All]" dimensionUniqueName="[poblacion_pregrado]" displayFolder="" count="0" memberValueDatatype="130" unbalanced="0"/>
    <cacheHierarchy uniqueName="[poblacion_pregrado].[nombre_departamento_hijo]" caption="nombre_departamento_hijo" attribute="1" defaultMemberUniqueName="[poblacion_pregrado].[nombre_departamento_hijo].[All]" allUniqueName="[poblacion_pregrado].[nombre_departamento_hijo].[All]" dimensionUniqueName="[poblacion_pregrado]" displayFolder="" count="0" memberValueDatatype="130" unbalanced="0"/>
    <cacheHierarchy uniqueName="[poblacion_pregrado].[nombre_tipo_estudiante]" caption="nombre_tipo_estudiante" attribute="1" defaultMemberUniqueName="[poblacion_pregrado].[nombre_tipo_estudiante].[All]" allUniqueName="[poblacion_pregrado].[nombre_tipo_estudiante].[All]" dimensionUniqueName="[poblacion_pregrado]" displayFolder="" count="0" memberValueDatatype="130" unbalanced="0"/>
    <cacheHierarchy uniqueName="[poblacion_pregrado].[ppto_nuevos]" caption="ppto_nuevos" attribute="1" defaultMemberUniqueName="[poblacion_pregrado].[ppto_nuevos].[All]" allUniqueName="[poblacion_pregrado].[ppto_nuevos].[All]" dimensionUniqueName="[poblacion_pregrado]" displayFolder="" count="0" memberValueDatatype="5" unbalanced="0"/>
    <cacheHierarchy uniqueName="[poblacion_pregrado].[ppto_antiguos]" caption="ppto_antiguos" attribute="1" defaultMemberUniqueName="[poblacion_pregrado].[ppto_antiguos].[All]" allUniqueName="[poblacion_pregrado].[ppto_antiguos].[All]" dimensionUniqueName="[poblacion_pregrado]" displayFolder="" count="0" memberValueDatatype="5" unbalanced="0"/>
    <cacheHierarchy uniqueName="[poblacion_pregrado].[real_nuevos]" caption="real_nuevos" attribute="1" defaultMemberUniqueName="[poblacion_pregrado].[real_nuevos].[All]" allUniqueName="[poblacion_pregrado].[real_nuevos].[All]" dimensionUniqueName="[poblacion_pregrado]" displayFolder="" count="0" memberValueDatatype="5" unbalanced="0"/>
    <cacheHierarchy uniqueName="[poblacion_pregrado].[real_antiguos]" caption="real_antiguos" attribute="1" defaultMemberUniqueName="[poblacion_pregrado].[real_antiguos].[All]" allUniqueName="[poblacion_pregrado].[real_antiguos].[All]" dimensionUniqueName="[poblacion_pregrado]" displayFolder="" count="0" memberValueDatatype="5" unbalanced="0"/>
    <cacheHierarchy uniqueName="[poblacion_pregrado].[ppto]" caption="ppto" attribute="1" defaultMemberUniqueName="[poblacion_pregrado].[ppto].[All]" allUniqueName="[poblacion_pregrado].[ppto].[All]" dimensionUniqueName="[poblacion_pregrado]" displayFolder="" count="0" memberValueDatatype="5" unbalanced="0"/>
    <cacheHierarchy uniqueName="[poblacion_pregrado].[real]" caption="real" attribute="1" defaultMemberUniqueName="[poblacion_pregrado].[real].[All]" allUniqueName="[poblacion_pregrado].[real].[All]" dimensionUniqueName="[poblacion_pregrado]" displayFolder="" count="0" memberValueDatatype="5" unbalanced="0"/>
    <cacheHierarchy uniqueName="[poblacion_pregrado].[diferencia]" caption="diferencia" attribute="1" defaultMemberUniqueName="[poblacion_pregrado].[diferencia].[All]" allUniqueName="[poblacion_pregrado].[diferencia].[All]" dimensionUniqueName="[poblacion_pregrado]" displayFolder="" count="0" memberValueDatatype="5" unbalanced="0"/>
    <cacheHierarchy uniqueName="[Measures].[__XL_Count A2020]" caption="__XL_Count A2020" measure="1" displayFolder="" measureGroup="A2020" count="0" hidden="1"/>
    <cacheHierarchy uniqueName="[Measures].[__XL_Count IF]" caption="__XL_Count IF" measure="1" displayFolder="" measureGroup="IF" count="0" hidden="1"/>
    <cacheHierarchy uniqueName="[Measures].[__XL_Count poblacion_pregrado]" caption="__XL_Count poblacion_pregrado" measure="1" displayFolder="" measureGroup="poblacion_pregrado" count="0" hidden="1"/>
    <cacheHierarchy uniqueName="[Measures].[__XL_Count poblacion_postgrado]" caption="__XL_Count poblacion_postgrado" measure="1" displayFolder="" measureGroup="poblacion_postgrado" count="0" hidden="1"/>
    <cacheHierarchy uniqueName="[Measures].[__No measures defined]" caption="__No measures defined" measure="1" displayFolder="" count="0" hidden="1"/>
    <cacheHierarchy uniqueName="[Measures].[Suma de valor]" caption="Suma de valor" measure="1" displayFolder="" measureGroup="IF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real]" caption="Suma de real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al_nuevos]" caption="Suma de real_nuev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real_antiguos]" caption="Suma de real_antigu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real 2]" caption="Suma de real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eal_nuevos 2]" caption="Suma de real_nuev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real_antiguos 2]" caption="Suma de real_antigu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</cacheHierarchies>
  <kpis count="0"/>
  <dimensions count="5">
    <dimension name="A2020" uniqueName="[A2020]" caption="A2020"/>
    <dimension name="IF" uniqueName="[IF]" caption="IF"/>
    <dimension measure="1" name="Measures" uniqueName="[Measures]" caption="Measures"/>
    <dimension name="poblacion_postgrado" uniqueName="[poblacion_postgrado]" caption="poblacion_postgrado"/>
    <dimension name="poblacion_pregrado" uniqueName="[poblacion_pregrado]" caption="poblacion_pregrado"/>
  </dimensions>
  <measureGroups count="4">
    <measureGroup name="A2020" caption="A2020"/>
    <measureGroup name="IF" caption="IF"/>
    <measureGroup name="poblacion_postgrado" caption="poblacion_postgrado"/>
    <measureGroup name="poblacion_pregrado" caption="poblacion_pregrado"/>
  </measureGroups>
  <maps count="4">
    <map measureGroup="0" dimension="0"/>
    <map measureGroup="1" dimension="1"/>
    <map measureGroup="2" dimension="3"/>
    <map measureGroup="3" dimension="4"/>
  </maps>
  <extLst>
    <ext xmlns:x14="http://schemas.microsoft.com/office/spreadsheetml/2009/9/main" uri="{725AE2AE-9491-48be-B2B4-4EB974FC3084}">
      <x14:pivotCacheDefinition slicerData="1" pivotCacheId="2044347289"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los Alberto Ceballos Gutierrez" refreshedDate="44383.587248495372" createdVersion="3" refreshedVersion="7" minRefreshableVersion="3" recordCount="0" supportSubquery="1" supportAdvancedDrill="1" xr:uid="{1E96C784-AD9E-41A3-9B8B-957B9F452729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99">
    <cacheHierarchy uniqueName="[A2020].[ano]" caption="ano" attribute="1" defaultMemberUniqueName="[A2020].[ano].[All]" allUniqueName="[A2020].[ano].[All]" dimensionUniqueName="[A2020]" displayFolder="" count="0" memberValueDatatype="20" unbalanced="0"/>
    <cacheHierarchy uniqueName="[A2020].[mes]" caption="mes" attribute="1" defaultMemberUniqueName="[A2020].[mes].[All]" allUniqueName="[A2020].[mes].[All]" dimensionUniqueName="[A2020]" displayFolder="" count="0" memberValueDatatype="20" unbalanced="0"/>
    <cacheHierarchy uniqueName="[A2020].[cuenta_ppto]" caption="cuenta_ppto" attribute="1" defaultMemberUniqueName="[A2020].[cuenta_ppto].[All]" allUniqueName="[A2020].[cuenta_ppto].[All]" dimensionUniqueName="[A2020]" displayFolder="" count="0" memberValueDatatype="130" unbalanced="0"/>
    <cacheHierarchy uniqueName="[A2020].[nombre_cuenta]" caption="nombre_cuenta" attribute="1" defaultMemberUniqueName="[A2020].[nombre_cuenta].[All]" allUniqueName="[A2020].[nombre_cuenta].[All]" dimensionUniqueName="[A2020]" displayFolder="" count="0" memberValueDatatype="130" unbalanced="0"/>
    <cacheHierarchy uniqueName="[A2020].[grupo_cuenta]" caption="grupo_cuenta" attribute="1" defaultMemberUniqueName="[A2020].[grupo_cuenta].[All]" allUniqueName="[A2020].[grupo_cuenta].[All]" dimensionUniqueName="[A2020]" displayFolder="" count="0" memberValueDatatype="130" unbalanced="0"/>
    <cacheHierarchy uniqueName="[A2020].[grupo_analisis]" caption="grupo_analisis" attribute="1" defaultMemberUniqueName="[A2020].[grupo_analisis].[All]" allUniqueName="[A2020].[grupo_analisis].[All]" dimensionUniqueName="[A2020]" displayFolder="" count="0" memberValueDatatype="130" unbalanced="0"/>
    <cacheHierarchy uniqueName="[A2020].[valor]" caption="valor" attribute="1" defaultMemberUniqueName="[A2020].[valor].[All]" allUniqueName="[A2020].[valor].[All]" dimensionUniqueName="[A2020]" displayFolder="" count="0" memberValueDatatype="5" unbalanced="0"/>
    <cacheHierarchy uniqueName="[A2020].[informacion]" caption="informacion" attribute="1" defaultMemberUniqueName="[A2020].[informacion].[All]" allUniqueName="[A2020].[informacion].[All]" dimensionUniqueName="[A2020]" displayFolder="" count="0" memberValueDatatype="130" unbalanced="0"/>
    <cacheHierarchy uniqueName="[A2020].[departamento_padre]" caption="departamento_padre" attribute="1" defaultMemberUniqueName="[A2020].[departamento_padre].[All]" allUniqueName="[A2020].[departamento_padre].[All]" dimensionUniqueName="[A2020]" displayFolder="" count="0" memberValueDatatype="130" unbalanced="0"/>
    <cacheHierarchy uniqueName="[A2020].[departamento_hijo]" caption="departamento_hijo" attribute="1" defaultMemberUniqueName="[A2020].[departamento_hijo].[All]" allUniqueName="[A2020].[departamento_hijo].[All]" dimensionUniqueName="[A2020]" displayFolder="" count="0" memberValueDatatype="130" unbalanced="0"/>
    <cacheHierarchy uniqueName="[A2020].[departamento_jerarquia1]" caption="departamento_jerarquia1" attribute="1" defaultMemberUniqueName="[A2020].[departamento_jerarquia1].[All]" allUniqueName="[A2020].[departamento_jerarquia1].[All]" dimensionUniqueName="[A2020]" displayFolder="" count="0" memberValueDatatype="130" unbalanced="0"/>
    <cacheHierarchy uniqueName="[A2020].[departamento_jerarquia2]" caption="departamento_jerarquia2" attribute="1" defaultMemberUniqueName="[A2020].[departamento_jerarquia2].[All]" allUniqueName="[A2020].[departamento_jerarquia2].[All]" dimensionUniqueName="[A2020]" displayFolder="" count="0" memberValueDatatype="130" unbalanced="0"/>
    <cacheHierarchy uniqueName="[A2020].[nombre_departamento_padre]" caption="nombre_departamento_padre" attribute="1" defaultMemberUniqueName="[A2020].[nombre_departamento_padre].[All]" allUniqueName="[A2020].[nombre_departamento_padre].[All]" dimensionUniqueName="[A2020]" displayFolder="" count="0" memberValueDatatype="130" unbalanced="0"/>
    <cacheHierarchy uniqueName="[A2020].[numero_nivel]" caption="numero_nivel" attribute="1" defaultMemberUniqueName="[A2020].[numero_nivel].[All]" allUniqueName="[A2020].[numero_nivel].[All]" dimensionUniqueName="[A2020]" displayFolder="" count="0" memberValueDatatype="20" unbalanced="0"/>
    <cacheHierarchy uniqueName="[A2020].[nombre_departamento_hijo]" caption="nombre_departamento_hijo" attribute="1" defaultMemberUniqueName="[A2020].[nombre_departamento_hijo].[All]" allUniqueName="[A2020].[nombre_departamento_hijo].[All]" dimensionUniqueName="[A2020]" displayFolder="" count="0" memberValueDatatype="130" unbalanced="0"/>
    <cacheHierarchy uniqueName="[A2020].[proyecto]" caption="proyecto" attribute="1" defaultMemberUniqueName="[A2020].[proyecto].[All]" allUniqueName="[A2020].[proyecto].[All]" dimensionUniqueName="[A2020]" displayFolder="" count="0" memberValueDatatype="130" unbalanced="0"/>
    <cacheHierarchy uniqueName="[A2020].[grupo_jerarquia]" caption="grupo_jerarquia" attribute="1" defaultMemberUniqueName="[A2020].[grupo_jerarquia].[All]" allUniqueName="[A2020].[grupo_jerarquia].[All]" dimensionUniqueName="[A2020]" displayFolder="" count="0" memberValueDatatype="130" unbalanced="0"/>
    <cacheHierarchy uniqueName="[A2020].[nombre_grupo_jerarquia]" caption="nombre_grupo_jerarquia" attribute="1" defaultMemberUniqueName="[A2020].[nombre_grupo_jerarquia].[All]" allUniqueName="[A2020].[nombre_grupo_jerarquia].[All]" dimensionUniqueName="[A2020]" displayFolder="" count="0" memberValueDatatype="130" unbalanced="0"/>
    <cacheHierarchy uniqueName="[A2020].[tipo_cuenta]" caption="tipo_cuenta" attribute="1" defaultMemberUniqueName="[A2020].[tipo_cuenta].[All]" allUniqueName="[A2020].[tipo_cuenta].[All]" dimensionUniqueName="[A2020]" displayFolder="" count="0" memberValueDatatype="130" unbalanced="0"/>
    <cacheHierarchy uniqueName="[A2020].[nombre_tipo_cuenta]" caption="nombre_tipo_cuenta" attribute="1" defaultMemberUniqueName="[A2020].[nombre_tipo_cuenta].[All]" allUniqueName="[A2020].[nombre_tipo_cuenta].[All]" dimensionUniqueName="[A2020]" displayFolder="" count="0" memberValueDatatype="130" unbalanced="0"/>
    <cacheHierarchy uniqueName="[A2020].[tipo_unidad]" caption="tipo_unidad" attribute="1" defaultMemberUniqueName="[A2020].[tipo_unidad].[All]" allUniqueName="[A2020].[tipo_unidad].[All]" dimensionUniqueName="[A2020]" displayFolder="" count="0" memberValueDatatype="130" unbalanced="0"/>
    <cacheHierarchy uniqueName="[A2020].[nombre_tipo_unidad]" caption="nombre_tipo_unidad" attribute="1" defaultMemberUniqueName="[A2020].[nombre_tipo_unidad].[All]" allUniqueName="[A2020].[nombre_tipo_unidad].[All]" dimensionUniqueName="[A2020]" displayFolder="" count="0" memberValueDatatype="130" unbalanced="0"/>
    <cacheHierarchy uniqueName="[A2020].[tipo_programa]" caption="tipo_programa" attribute="1" defaultMemberUniqueName="[A2020].[tipo_programa].[All]" allUniqueName="[A2020].[tipo_programa].[All]" dimensionUniqueName="[A2020]" displayFolder="" count="0" memberValueDatatype="130" unbalanced="0"/>
    <cacheHierarchy uniqueName="[A2020].[nombre_tipo_programa]" caption="nombre_tipo_programa" attribute="1" defaultMemberUniqueName="[A2020].[nombre_tipo_programa].[All]" allUniqueName="[A2020].[nombre_tipo_programa].[All]" dimensionUniqueName="[A2020]" displayFolder="" count="0" memberValueDatatype="130" unbalanced="0"/>
    <cacheHierarchy uniqueName="[A2020].[nombre_metodologia]" caption="nombre_metodologia" attribute="1" defaultMemberUniqueName="[A2020].[nombre_metodologia].[All]" allUniqueName="[A2020].[nombre_metodologia].[All]" dimensionUniqueName="[A2020]" displayFolder="" count="0" memberValueDatatype="130" unbalanced="0"/>
    <cacheHierarchy uniqueName="[A2020].[tipo_departamento]" caption="tipo_departamento" attribute="1" defaultMemberUniqueName="[A2020].[tipo_departamento].[All]" allUniqueName="[A2020].[tipo_departamento].[All]" dimensionUniqueName="[A2020]" displayFolder="" count="0" memberValueDatatype="130" unbalanced="0"/>
    <cacheHierarchy uniqueName="[A2020].[horizonte]" caption="horizonte" attribute="1" defaultMemberUniqueName="[A2020].[horizonte].[All]" allUniqueName="[A2020].[horizonte].[All]" dimensionUniqueName="[A2020]" displayFolder="" count="0" memberValueDatatype="130" unbalanced="0"/>
    <cacheHierarchy uniqueName="[IF].[ano]" caption="ano" attribute="1" defaultMemberUniqueName="[IF].[ano].[All]" allUniqueName="[IF].[ano].[All]" dimensionUniqueName="[IF]" displayFolder="" count="0" memberValueDatatype="20" unbalanced="0"/>
    <cacheHierarchy uniqueName="[IF].[mes]" caption="mes" attribute="1" defaultMemberUniqueName="[IF].[mes].[All]" allUniqueName="[IF].[mes].[All]" dimensionUniqueName="[IF]" displayFolder="" count="0" memberValueDatatype="20" unbalanced="0"/>
    <cacheHierarchy uniqueName="[IF].[cuenta_ppto]" caption="cuenta_ppto" attribute="1" defaultMemberUniqueName="[IF].[cuenta_ppto].[All]" allUniqueName="[IF].[cuenta_ppto].[All]" dimensionUniqueName="[IF]" displayFolder="" count="0" memberValueDatatype="130" unbalanced="0"/>
    <cacheHierarchy uniqueName="[IF].[nombre_cuenta]" caption="nombre_cuenta" attribute="1" defaultMemberUniqueName="[IF].[nombre_cuenta].[All]" allUniqueName="[IF].[nombre_cuenta].[All]" dimensionUniqueName="[IF]" displayFolder="" count="0" memberValueDatatype="130" unbalanced="0"/>
    <cacheHierarchy uniqueName="[IF].[grupo_cuenta]" caption="grupo_cuenta" attribute="1" defaultMemberUniqueName="[IF].[grupo_cuenta].[All]" allUniqueName="[IF].[grupo_cuenta].[All]" dimensionUniqueName="[IF]" displayFolder="" count="0" memberValueDatatype="130" unbalanced="0"/>
    <cacheHierarchy uniqueName="[IF].[grupo_analisis]" caption="grupo_analisis" attribute="1" defaultMemberUniqueName="[IF].[grupo_analisis].[All]" allUniqueName="[IF].[grupo_analisis].[All]" dimensionUniqueName="[IF]" displayFolder="" count="0" memberValueDatatype="130" unbalanced="0"/>
    <cacheHierarchy uniqueName="[IF].[valor]" caption="valor" attribute="1" defaultMemberUniqueName="[IF].[valor].[All]" allUniqueName="[IF].[valor].[All]" dimensionUniqueName="[IF]" displayFolder="" count="0" memberValueDatatype="5" unbalanced="0"/>
    <cacheHierarchy uniqueName="[IF].[informacion]" caption="informacion" attribute="1" defaultMemberUniqueName="[IF].[informacion].[All]" allUniqueName="[IF].[informacion].[All]" dimensionUniqueName="[IF]" displayFolder="" count="0" memberValueDatatype="130" unbalanced="0"/>
    <cacheHierarchy uniqueName="[IF].[departamento_padre]" caption="departamento_padre" attribute="1" defaultMemberUniqueName="[IF].[departamento_padre].[All]" allUniqueName="[IF].[departamento_padre].[All]" dimensionUniqueName="[IF]" displayFolder="" count="0" memberValueDatatype="130" unbalanced="0"/>
    <cacheHierarchy uniqueName="[IF].[departamento_hijo]" caption="departamento_hijo" attribute="1" defaultMemberUniqueName="[IF].[departamento_hijo].[All]" allUniqueName="[IF].[departamento_hijo].[All]" dimensionUniqueName="[IF]" displayFolder="" count="0" memberValueDatatype="130" unbalanced="0"/>
    <cacheHierarchy uniqueName="[IF].[departamento_jerarquia1]" caption="departamento_jerarquia1" attribute="1" defaultMemberUniqueName="[IF].[departamento_jerarquia1].[All]" allUniqueName="[IF].[departamento_jerarquia1].[All]" dimensionUniqueName="[IF]" displayFolder="" count="0" memberValueDatatype="130" unbalanced="0"/>
    <cacheHierarchy uniqueName="[IF].[departamento_jerarquia2]" caption="departamento_jerarquia2" attribute="1" defaultMemberUniqueName="[IF].[departamento_jerarquia2].[All]" allUniqueName="[IF].[departamento_jerarquia2].[All]" dimensionUniqueName="[IF]" displayFolder="" count="0" memberValueDatatype="130" unbalanced="0"/>
    <cacheHierarchy uniqueName="[IF].[nombre_departamento_padre]" caption="nombre_departamento_padre" attribute="1" defaultMemberUniqueName="[IF].[nombre_departamento_padre].[All]" allUniqueName="[IF].[nombre_departamento_padre].[All]" dimensionUniqueName="[IF]" displayFolder="" count="0" memberValueDatatype="130" unbalanced="0"/>
    <cacheHierarchy uniqueName="[IF].[numero_nivel]" caption="numero_nivel" attribute="1" defaultMemberUniqueName="[IF].[numero_nivel].[All]" allUniqueName="[IF].[numero_nivel].[All]" dimensionUniqueName="[IF]" displayFolder="" count="0" memberValueDatatype="20" unbalanced="0"/>
    <cacheHierarchy uniqueName="[IF].[nombre_departamento_hijo]" caption="nombre_departamento_hijo" attribute="1" defaultMemberUniqueName="[IF].[nombre_departamento_hijo].[All]" allUniqueName="[IF].[nombre_departamento_hijo].[All]" dimensionUniqueName="[IF]" displayFolder="" count="0" memberValueDatatype="130" unbalanced="0"/>
    <cacheHierarchy uniqueName="[IF].[proyecto]" caption="proyecto" attribute="1" defaultMemberUniqueName="[IF].[proyecto].[All]" allUniqueName="[IF].[proyecto].[All]" dimensionUniqueName="[IF]" displayFolder="" count="0" memberValueDatatype="130" unbalanced="0"/>
    <cacheHierarchy uniqueName="[IF].[grupo_jerarquia]" caption="grupo_jerarquia" attribute="1" defaultMemberUniqueName="[IF].[grupo_jerarquia].[All]" allUniqueName="[IF].[grupo_jerarquia].[All]" dimensionUniqueName="[IF]" displayFolder="" count="0" memberValueDatatype="130" unbalanced="0"/>
    <cacheHierarchy uniqueName="[IF].[nombre_grupo_jerarquia]" caption="nombre_grupo_jerarquia" attribute="1" defaultMemberUniqueName="[IF].[nombre_grupo_jerarquia].[All]" allUniqueName="[IF].[nombre_grupo_jerarquia].[All]" dimensionUniqueName="[IF]" displayFolder="" count="0" memberValueDatatype="130" unbalanced="0"/>
    <cacheHierarchy uniqueName="[IF].[tipo_cuenta]" caption="tipo_cuenta" attribute="1" defaultMemberUniqueName="[IF].[tipo_cuenta].[All]" allUniqueName="[IF].[tipo_cuenta].[All]" dimensionUniqueName="[IF]" displayFolder="" count="0" memberValueDatatype="130" unbalanced="0"/>
    <cacheHierarchy uniqueName="[IF].[nombre_tipo_cuenta]" caption="nombre_tipo_cuenta" attribute="1" defaultMemberUniqueName="[IF].[nombre_tipo_cuenta].[All]" allUniqueName="[IF].[nombre_tipo_cuenta].[All]" dimensionUniqueName="[IF]" displayFolder="" count="0" memberValueDatatype="130" unbalanced="0"/>
    <cacheHierarchy uniqueName="[IF].[tipo_unidad]" caption="tipo_unidad" attribute="1" defaultMemberUniqueName="[IF].[tipo_unidad].[All]" allUniqueName="[IF].[tipo_unidad].[All]" dimensionUniqueName="[IF]" displayFolder="" count="0" memberValueDatatype="130" unbalanced="0"/>
    <cacheHierarchy uniqueName="[IF].[nombre_tipo_unidad]" caption="nombre_tipo_unidad" attribute="1" defaultMemberUniqueName="[IF].[nombre_tipo_unidad].[All]" allUniqueName="[IF].[nombre_tipo_unidad].[All]" dimensionUniqueName="[IF]" displayFolder="" count="0" memberValueDatatype="130" unbalanced="0"/>
    <cacheHierarchy uniqueName="[IF].[tipo_programa]" caption="tipo_programa" attribute="1" defaultMemberUniqueName="[IF].[tipo_programa].[All]" allUniqueName="[IF].[tipo_programa].[All]" dimensionUniqueName="[IF]" displayFolder="" count="0" memberValueDatatype="130" unbalanced="0"/>
    <cacheHierarchy uniqueName="[IF].[nombre_tipo_programa]" caption="nombre_tipo_programa" attribute="1" defaultMemberUniqueName="[IF].[nombre_tipo_programa].[All]" allUniqueName="[IF].[nombre_tipo_programa].[All]" dimensionUniqueName="[IF]" displayFolder="" count="0" memberValueDatatype="130" unbalanced="0"/>
    <cacheHierarchy uniqueName="[IF].[nombre_metodologia]" caption="nombre_metodologia" attribute="1" defaultMemberUniqueName="[IF].[nombre_metodologia].[All]" allUniqueName="[IF].[nombre_metodologia].[All]" dimensionUniqueName="[IF]" displayFolder="" count="0" memberValueDatatype="130" unbalanced="0"/>
    <cacheHierarchy uniqueName="[IF].[tipo_departamento]" caption="tipo_departamento" attribute="1" defaultMemberUniqueName="[IF].[tipo_departamento].[All]" allUniqueName="[IF].[tipo_departamento].[All]" dimensionUniqueName="[IF]" displayFolder="" count="0" memberValueDatatype="130" unbalanced="0"/>
    <cacheHierarchy uniqueName="[IF].[horizonte]" caption="horizonte" attribute="1" defaultMemberUniqueName="[IF].[horizonte].[All]" allUniqueName="[IF].[horizonte].[All]" dimensionUniqueName="[IF]" displayFolder="" count="0" memberValueDatatype="130" unbalanced="0"/>
    <cacheHierarchy uniqueName="[poblacion_postgrado].[ano]" caption="ano" attribute="1" defaultMemberUniqueName="[poblacion_postgrado].[ano].[All]" allUniqueName="[poblacion_postgrado].[ano].[All]" dimensionUniqueName="[poblacion_postgrado]" displayFolder="" count="0" memberValueDatatype="20" unbalanced="0"/>
    <cacheHierarchy uniqueName="[poblacion_postgrado].[periodo]" caption="periodo" attribute="1" defaultMemberUniqueName="[poblacion_postgrado].[periodo].[All]" allUniqueName="[poblacion_postgrado].[periodo].[All]" dimensionUniqueName="[poblacion_postgrado]" displayFolder="" count="0" memberValueDatatype="130" unbalanced="0"/>
    <cacheHierarchy uniqueName="[poblacion_postgrado].[semestre]" caption="semestre" attribute="1" defaultMemberUniqueName="[poblacion_postgrado].[semestre].[All]" allUniqueName="[poblacion_postgrado].[semestre].[All]" dimensionUniqueName="[poblacion_postgrado]" displayFolder="" count="0" memberValueDatatype="20" unbalanced="0"/>
    <cacheHierarchy uniqueName="[poblacion_postgrado].[fecha]" caption="fecha" attribute="1" defaultMemberUniqueName="[poblacion_postgrado].[fecha].[All]" allUniqueName="[poblacion_postgrado].[fecha].[All]" dimensionUniqueName="[poblacion_postgrado]" displayFolder="" count="0" memberValueDatatype="130" unbalanced="0"/>
    <cacheHierarchy uniqueName="[poblacion_postgrado].[departamento_padre]" caption="departamento_padre" attribute="1" defaultMemberUniqueName="[poblacion_postgrado].[departamento_padre].[All]" allUniqueName="[poblacion_postgrado].[departamento_padre].[All]" dimensionUniqueName="[poblacion_postgrado]" displayFolder="" count="0" memberValueDatatype="130" unbalanced="0"/>
    <cacheHierarchy uniqueName="[poblacion_postgrado].[nombre_departamento_padre]" caption="nombre_departamento_padre" attribute="1" defaultMemberUniqueName="[poblacion_postgrado].[nombre_departamento_padre].[All]" allUniqueName="[poblacion_postgrado].[nombre_departamento_padre].[All]" dimensionUniqueName="[poblacion_postgrado]" displayFolder="" count="0" memberValueDatatype="130" unbalanced="0"/>
    <cacheHierarchy uniqueName="[poblacion_postgrado].[departamento]" caption="departamento" attribute="1" defaultMemberUniqueName="[poblacion_postgrado].[departamento].[All]" allUniqueName="[poblacion_postgrado].[departamento].[All]" dimensionUniqueName="[poblacion_postgrado]" displayFolder="" count="0" memberValueDatatype="130" unbalanced="0"/>
    <cacheHierarchy uniqueName="[poblacion_postgrado].[nombre_departamento_hijo]" caption="nombre_departamento_hijo" attribute="1" defaultMemberUniqueName="[poblacion_postgrado].[nombre_departamento_hijo].[All]" allUniqueName="[poblacion_postgrado].[nombre_departamento_hijo].[All]" dimensionUniqueName="[poblacion_postgrado]" displayFolder="" count="0" memberValueDatatype="130" unbalanced="0"/>
    <cacheHierarchy uniqueName="[poblacion_postgrado].[tipo_programa]" caption="tipo_programa" attribute="1" defaultMemberUniqueName="[poblacion_postgrado].[tipo_programa].[All]" allUniqueName="[poblacion_postgrado].[tipo_programa].[All]" dimensionUniqueName="[poblacion_postgrado]" displayFolder="" count="0" memberValueDatatype="130" unbalanced="0"/>
    <cacheHierarchy uniqueName="[poblacion_postgrado].[nombre_tipo_programa]" caption="nombre_tipo_programa" attribute="1" defaultMemberUniqueName="[poblacion_postgrado].[nombre_tipo_programa].[All]" allUniqueName="[poblacion_postgrado].[nombre_tipo_programa].[All]" dimensionUniqueName="[poblacion_postgrado]" displayFolder="" count="0" memberValueDatatype="130" unbalanced="0"/>
    <cacheHierarchy uniqueName="[poblacion_postgrado].[nombre_metodologia]" caption="nombre_metodologia" attribute="1" defaultMemberUniqueName="[poblacion_postgrado].[nombre_metodologia].[All]" allUniqueName="[poblacion_postgrado].[nombre_metodologia].[All]" dimensionUniqueName="[poblacion_postgrado]" displayFolder="" count="0" memberValueDatatype="130" unbalanced="0"/>
    <cacheHierarchy uniqueName="[poblacion_postgrado].[ppto_nuevos]" caption="ppto_nuevos" attribute="1" defaultMemberUniqueName="[poblacion_postgrado].[ppto_nuevos].[All]" allUniqueName="[poblacion_postgrado].[ppto_nuevos].[All]" dimensionUniqueName="[poblacion_postgrado]" displayFolder="" count="0" memberValueDatatype="20" unbalanced="0"/>
    <cacheHierarchy uniqueName="[poblacion_postgrado].[ppto_antiguos]" caption="ppto_antiguos" attribute="1" defaultMemberUniqueName="[poblacion_postgrado].[ppto_antiguos].[All]" allUniqueName="[poblacion_postgrado].[ppto_antiguos].[All]" dimensionUniqueName="[poblacion_postgrado]" displayFolder="" count="0" memberValueDatatype="20" unbalanced="0"/>
    <cacheHierarchy uniqueName="[poblacion_postgrado].[real_nuevos]" caption="real_nuevos" attribute="1" defaultMemberUniqueName="[poblacion_postgrado].[real_nuevos].[All]" allUniqueName="[poblacion_postgrado].[real_nuevos].[All]" dimensionUniqueName="[poblacion_postgrado]" displayFolder="" count="0" memberValueDatatype="20" unbalanced="0"/>
    <cacheHierarchy uniqueName="[poblacion_postgrado].[real_antiguos]" caption="real_antiguos" attribute="1" defaultMemberUniqueName="[poblacion_postgrado].[real_antiguos].[All]" allUniqueName="[poblacion_postgrado].[real_antiguos].[All]" dimensionUniqueName="[poblacion_postgrado]" displayFolder="" count="0" memberValueDatatype="20" unbalanced="0"/>
    <cacheHierarchy uniqueName="[poblacion_postgrado].[ppto]" caption="ppto" attribute="1" defaultMemberUniqueName="[poblacion_postgrado].[ppto].[All]" allUniqueName="[poblacion_postgrado].[ppto].[All]" dimensionUniqueName="[poblacion_postgrado]" displayFolder="" count="0" memberValueDatatype="20" unbalanced="0"/>
    <cacheHierarchy uniqueName="[poblacion_postgrado].[real]" caption="real" attribute="1" defaultMemberUniqueName="[poblacion_postgrado].[real].[All]" allUniqueName="[poblacion_postgrado].[real].[All]" dimensionUniqueName="[poblacion_postgrado]" displayFolder="" count="0" memberValueDatatype="20" unbalanced="0"/>
    <cacheHierarchy uniqueName="[poblacion_postgrado].[diferencia]" caption="diferencia" attribute="1" defaultMemberUniqueName="[poblacion_postgrado].[diferencia].[All]" allUniqueName="[poblacion_postgrado].[diferencia].[All]" dimensionUniqueName="[poblacion_postgrado]" displayFolder="" count="0" memberValueDatatype="20" unbalanced="0"/>
    <cacheHierarchy uniqueName="[poblacion_pregrado].[ano]" caption="ano" attribute="1" defaultMemberUniqueName="[poblacion_pregrado].[ano].[All]" allUniqueName="[poblacion_pregrado].[ano].[All]" dimensionUniqueName="[poblacion_pregrado]" displayFolder="" count="0" memberValueDatatype="20" unbalanced="0"/>
    <cacheHierarchy uniqueName="[poblacion_pregrado].[periodo]" caption="periodo" attribute="1" defaultMemberUniqueName="[poblacion_pregrado].[periodo].[All]" allUniqueName="[poblacion_pregrado].[periodo].[All]" dimensionUniqueName="[poblacion_pregrado]" displayFolder="" count="0" memberValueDatatype="130" unbalanced="0"/>
    <cacheHierarchy uniqueName="[poblacion_pregrado].[semestre]" caption="semestre" attribute="1" defaultMemberUniqueName="[poblacion_pregrado].[semestre].[All]" allUniqueName="[poblacion_pregrado].[semestre].[All]" dimensionUniqueName="[poblacion_pregrado]" displayFolder="" count="0" memberValueDatatype="20" unbalanced="0"/>
    <cacheHierarchy uniqueName="[poblacion_pregrado].[departamento_padre]" caption="departamento_padre" attribute="1" defaultMemberUniqueName="[poblacion_pregrado].[departamento_padre].[All]" allUniqueName="[poblacion_pregrado].[departamento_padre].[All]" dimensionUniqueName="[poblacion_pregrado]" displayFolder="" count="0" memberValueDatatype="130" unbalanced="0"/>
    <cacheHierarchy uniqueName="[poblacion_pregrado].[nombre_departamento_padre]" caption="nombre_departamento_padre" attribute="1" defaultMemberUniqueName="[poblacion_pregrado].[nombre_departamento_padre].[All]" allUniqueName="[poblacion_pregrado].[nombre_departamento_padre].[All]" dimensionUniqueName="[poblacion_pregrado]" displayFolder="" count="0" memberValueDatatype="130" unbalanced="0"/>
    <cacheHierarchy uniqueName="[poblacion_pregrado].[departamento]" caption="departamento" attribute="1" defaultMemberUniqueName="[poblacion_pregrado].[departamento].[All]" allUniqueName="[poblacion_pregrado].[departamento].[All]" dimensionUniqueName="[poblacion_pregrado]" displayFolder="" count="0" memberValueDatatype="130" unbalanced="0"/>
    <cacheHierarchy uniqueName="[poblacion_pregrado].[nombre_departamento_hijo]" caption="nombre_departamento_hijo" attribute="1" defaultMemberUniqueName="[poblacion_pregrado].[nombre_departamento_hijo].[All]" allUniqueName="[poblacion_pregrado].[nombre_departamento_hijo].[All]" dimensionUniqueName="[poblacion_pregrado]" displayFolder="" count="0" memberValueDatatype="130" unbalanced="0"/>
    <cacheHierarchy uniqueName="[poblacion_pregrado].[nombre_tipo_estudiante]" caption="nombre_tipo_estudiante" attribute="1" defaultMemberUniqueName="[poblacion_pregrado].[nombre_tipo_estudiante].[All]" allUniqueName="[poblacion_pregrado].[nombre_tipo_estudiante].[All]" dimensionUniqueName="[poblacion_pregrado]" displayFolder="" count="0" memberValueDatatype="130" unbalanced="0"/>
    <cacheHierarchy uniqueName="[poblacion_pregrado].[ppto_nuevos]" caption="ppto_nuevos" attribute="1" defaultMemberUniqueName="[poblacion_pregrado].[ppto_nuevos].[All]" allUniqueName="[poblacion_pregrado].[ppto_nuevos].[All]" dimensionUniqueName="[poblacion_pregrado]" displayFolder="" count="0" memberValueDatatype="5" unbalanced="0"/>
    <cacheHierarchy uniqueName="[poblacion_pregrado].[ppto_antiguos]" caption="ppto_antiguos" attribute="1" defaultMemberUniqueName="[poblacion_pregrado].[ppto_antiguos].[All]" allUniqueName="[poblacion_pregrado].[ppto_antiguos].[All]" dimensionUniqueName="[poblacion_pregrado]" displayFolder="" count="0" memberValueDatatype="5" unbalanced="0"/>
    <cacheHierarchy uniqueName="[poblacion_pregrado].[real_nuevos]" caption="real_nuevos" attribute="1" defaultMemberUniqueName="[poblacion_pregrado].[real_nuevos].[All]" allUniqueName="[poblacion_pregrado].[real_nuevos].[All]" dimensionUniqueName="[poblacion_pregrado]" displayFolder="" count="0" memberValueDatatype="5" unbalanced="0"/>
    <cacheHierarchy uniqueName="[poblacion_pregrado].[real_antiguos]" caption="real_antiguos" attribute="1" defaultMemberUniqueName="[poblacion_pregrado].[real_antiguos].[All]" allUniqueName="[poblacion_pregrado].[real_antiguos].[All]" dimensionUniqueName="[poblacion_pregrado]" displayFolder="" count="0" memberValueDatatype="5" unbalanced="0"/>
    <cacheHierarchy uniqueName="[poblacion_pregrado].[ppto]" caption="ppto" attribute="1" defaultMemberUniqueName="[poblacion_pregrado].[ppto].[All]" allUniqueName="[poblacion_pregrado].[ppto].[All]" dimensionUniqueName="[poblacion_pregrado]" displayFolder="" count="0" memberValueDatatype="5" unbalanced="0"/>
    <cacheHierarchy uniqueName="[poblacion_pregrado].[real]" caption="real" attribute="1" defaultMemberUniqueName="[poblacion_pregrado].[real].[All]" allUniqueName="[poblacion_pregrado].[real].[All]" dimensionUniqueName="[poblacion_pregrado]" displayFolder="" count="0" memberValueDatatype="5" unbalanced="0"/>
    <cacheHierarchy uniqueName="[poblacion_pregrado].[diferencia]" caption="diferencia" attribute="1" defaultMemberUniqueName="[poblacion_pregrado].[diferencia].[All]" allUniqueName="[poblacion_pregrado].[diferencia].[All]" dimensionUniqueName="[poblacion_pregrado]" displayFolder="" count="0" memberValueDatatype="5" unbalanced="0"/>
    <cacheHierarchy uniqueName="[Measures].[__XL_Count A2020]" caption="__XL_Count A2020" measure="1" displayFolder="" measureGroup="A2020" count="0" hidden="1"/>
    <cacheHierarchy uniqueName="[Measures].[__XL_Count IF]" caption="__XL_Count IF" measure="1" displayFolder="" measureGroup="IF" count="0" hidden="1"/>
    <cacheHierarchy uniqueName="[Measures].[__XL_Count poblacion_pregrado]" caption="__XL_Count poblacion_pregrado" measure="1" displayFolder="" measureGroup="poblacion_pregrado" count="0" hidden="1"/>
    <cacheHierarchy uniqueName="[Measures].[__XL_Count poblacion_postgrado]" caption="__XL_Count poblacion_postgrado" measure="1" displayFolder="" measureGroup="poblacion_postgrado" count="0" hidden="1"/>
    <cacheHierarchy uniqueName="[Measures].[__No measures defined]" caption="__No measures defined" measure="1" displayFolder="" count="0" hidden="1"/>
    <cacheHierarchy uniqueName="[Measures].[Suma de valor]" caption="Suma de valor" measure="1" displayFolder="" measureGroup="IF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real]" caption="Suma de real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al_nuevos]" caption="Suma de real_nuev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real_antiguos]" caption="Suma de real_antigu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real 2]" caption="Suma de real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eal_nuevos 2]" caption="Suma de real_nuev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real_antiguos 2]" caption="Suma de real_antigu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</cacheHierarchies>
  <kpis count="0"/>
  <dimensions count="5">
    <dimension name="A2020" uniqueName="[A2020]" caption="A2020"/>
    <dimension name="IF" uniqueName="[IF]" caption="IF"/>
    <dimension measure="1" name="Measures" uniqueName="[Measures]" caption="Measures"/>
    <dimension name="poblacion_postgrado" uniqueName="[poblacion_postgrado]" caption="poblacion_postgrado"/>
    <dimension name="poblacion_pregrado" uniqueName="[poblacion_pregrado]" caption="poblacion_pregrado"/>
  </dimensions>
  <measureGroups count="4">
    <measureGroup name="A2020" caption="A2020"/>
    <measureGroup name="IF" caption="IF"/>
    <measureGroup name="poblacion_postgrado" caption="poblacion_postgrado"/>
    <measureGroup name="poblacion_pregrado" caption="poblacion_pregrado"/>
  </measureGroups>
  <maps count="4">
    <map measureGroup="0" dimension="0"/>
    <map measureGroup="1" dimension="1"/>
    <map measureGroup="2" dimension="3"/>
    <map measureGroup="3" dimension="4"/>
  </maps>
  <extLst>
    <ext xmlns:x14="http://schemas.microsoft.com/office/spreadsheetml/2009/9/main" uri="{725AE2AE-9491-48be-B2B4-4EB974FC3084}">
      <x14:pivotCacheDefinition slicerData="1" pivotCacheId="450005248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los Alberto Ceballos Gutierrez" refreshedDate="44383.587245138886" createdVersion="5" refreshedVersion="7" minRefreshableVersion="3" recordCount="0" supportSubquery="1" supportAdvancedDrill="1" xr:uid="{2C8DC09B-5F91-4876-B30D-FC8037A0E7E4}">
  <cacheSource type="external" connectionId="8"/>
  <cacheFields count="6">
    <cacheField name="[poblacion_pregrado].[nombre_departamento_hijo].[nombre_departamento_hijo]" caption="nombre_departamento_hijo" numFmtId="0" hierarchy="78" level="1">
      <sharedItems count="3">
        <s v="PROG COMUNICACION CORPORATIVA"/>
        <s v="PROG DE COM AUDVISUAL Y MULTIM"/>
        <s v="PROG DE COMUNICACION SOCIAL"/>
      </sharedItems>
    </cacheField>
    <cacheField name="[poblacion_pregrado].[ano].[ano]" caption="ano" numFmtId="0" hierarchy="72" level="1">
      <sharedItems containsSemiMixedTypes="0" containsString="0" containsNumber="1" containsInteger="1" minValue="2018" maxValue="2021" count="4"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oblacion_pregrado].[ano].&amp;[2018]"/>
            <x15:cachedUniqueName index="1" name="[poblacion_pregrado].[ano].&amp;[2019]"/>
            <x15:cachedUniqueName index="2" name="[poblacion_pregrado].[ano].&amp;[2020]"/>
            <x15:cachedUniqueName index="3" name="[poblacion_pregrado].[ano].&amp;[2021]"/>
          </x15:cachedUniqueNames>
        </ext>
      </extLst>
    </cacheField>
    <cacheField name="[poblacion_pregrado].[semestre].[semestre]" caption="semestre" numFmtId="0" hierarchy="74" level="1">
      <sharedItems containsSemiMixedTypes="0" containsString="0" containsNumber="1" containsInteger="1" minValue="1" maxValue="2" count="2">
        <n v="1"/>
        <n v="2"/>
      </sharedItems>
      <extLst>
        <ext xmlns:x15="http://schemas.microsoft.com/office/spreadsheetml/2010/11/main" uri="{4F2E5C28-24EA-4eb8-9CBF-B6C8F9C3D259}">
          <x15:cachedUniqueNames>
            <x15:cachedUniqueName index="0" name="[poblacion_pregrado].[semestre].&amp;[1]"/>
            <x15:cachedUniqueName index="1" name="[poblacion_pregrado].[semestre].&amp;[2]"/>
          </x15:cachedUniqueNames>
        </ext>
      </extLst>
    </cacheField>
    <cacheField name="[IF].[departamento_jerarquia1].[departamento_jerarquia1]" caption="departamento_jerarquia1" numFmtId="0" hierarchy="37" level="1">
      <sharedItems containsSemiMixedTypes="0" containsNonDate="0" containsString="0"/>
    </cacheField>
    <cacheField name="[Measures].[Suma de real_antiguos]" caption="Suma de real_antiguos" numFmtId="0" hierarchy="95" level="32767"/>
    <cacheField name="[poblacion_pregrado].[nombre_departamento_padre].[nombre_departamento_padre]" caption="nombre_departamento_padre" numFmtId="0" hierarchy="76" level="1">
      <sharedItems containsSemiMixedTypes="0" containsNonDate="0" containsString="0"/>
    </cacheField>
  </cacheFields>
  <cacheHierarchies count="99">
    <cacheHierarchy uniqueName="[A2020].[ano]" caption="ano" attribute="1" defaultMemberUniqueName="[A2020].[ano].[All]" allUniqueName="[A2020].[ano].[All]" dimensionUniqueName="[A2020]" displayFolder="" count="0" memberValueDatatype="20" unbalanced="0"/>
    <cacheHierarchy uniqueName="[A2020].[mes]" caption="mes" attribute="1" defaultMemberUniqueName="[A2020].[mes].[All]" allUniqueName="[A2020].[mes].[All]" dimensionUniqueName="[A2020]" displayFolder="" count="0" memberValueDatatype="20" unbalanced="0"/>
    <cacheHierarchy uniqueName="[A2020].[cuenta_ppto]" caption="cuenta_ppto" attribute="1" defaultMemberUniqueName="[A2020].[cuenta_ppto].[All]" allUniqueName="[A2020].[cuenta_ppto].[All]" dimensionUniqueName="[A2020]" displayFolder="" count="0" memberValueDatatype="130" unbalanced="0"/>
    <cacheHierarchy uniqueName="[A2020].[nombre_cuenta]" caption="nombre_cuenta" attribute="1" defaultMemberUniqueName="[A2020].[nombre_cuenta].[All]" allUniqueName="[A2020].[nombre_cuenta].[All]" dimensionUniqueName="[A2020]" displayFolder="" count="0" memberValueDatatype="130" unbalanced="0"/>
    <cacheHierarchy uniqueName="[A2020].[grupo_cuenta]" caption="grupo_cuenta" attribute="1" defaultMemberUniqueName="[A2020].[grupo_cuenta].[All]" allUniqueName="[A2020].[grupo_cuenta].[All]" dimensionUniqueName="[A2020]" displayFolder="" count="0" memberValueDatatype="130" unbalanced="0"/>
    <cacheHierarchy uniqueName="[A2020].[grupo_analisis]" caption="grupo_analisis" attribute="1" defaultMemberUniqueName="[A2020].[grupo_analisis].[All]" allUniqueName="[A2020].[grupo_analisis].[All]" dimensionUniqueName="[A2020]" displayFolder="" count="0" memberValueDatatype="130" unbalanced="0"/>
    <cacheHierarchy uniqueName="[A2020].[valor]" caption="valor" attribute="1" defaultMemberUniqueName="[A2020].[valor].[All]" allUniqueName="[A2020].[valor].[All]" dimensionUniqueName="[A2020]" displayFolder="" count="0" memberValueDatatype="5" unbalanced="0"/>
    <cacheHierarchy uniqueName="[A2020].[informacion]" caption="informacion" attribute="1" defaultMemberUniqueName="[A2020].[informacion].[All]" allUniqueName="[A2020].[informacion].[All]" dimensionUniqueName="[A2020]" displayFolder="" count="0" memberValueDatatype="130" unbalanced="0"/>
    <cacheHierarchy uniqueName="[A2020].[departamento_padre]" caption="departamento_padre" attribute="1" defaultMemberUniqueName="[A2020].[departamento_padre].[All]" allUniqueName="[A2020].[departamento_padre].[All]" dimensionUniqueName="[A2020]" displayFolder="" count="0" memberValueDatatype="130" unbalanced="0"/>
    <cacheHierarchy uniqueName="[A2020].[departamento_hijo]" caption="departamento_hijo" attribute="1" defaultMemberUniqueName="[A2020].[departamento_hijo].[All]" allUniqueName="[A2020].[departamento_hijo].[All]" dimensionUniqueName="[A2020]" displayFolder="" count="0" memberValueDatatype="130" unbalanced="0"/>
    <cacheHierarchy uniqueName="[A2020].[departamento_jerarquia1]" caption="departamento_jerarquia1" attribute="1" defaultMemberUniqueName="[A2020].[departamento_jerarquia1].[All]" allUniqueName="[A2020].[departamento_jerarquia1].[All]" dimensionUniqueName="[A2020]" displayFolder="" count="0" memberValueDatatype="130" unbalanced="0"/>
    <cacheHierarchy uniqueName="[A2020].[departamento_jerarquia2]" caption="departamento_jerarquia2" attribute="1" defaultMemberUniqueName="[A2020].[departamento_jerarquia2].[All]" allUniqueName="[A2020].[departamento_jerarquia2].[All]" dimensionUniqueName="[A2020]" displayFolder="" count="0" memberValueDatatype="130" unbalanced="0"/>
    <cacheHierarchy uniqueName="[A2020].[nombre_departamento_padre]" caption="nombre_departamento_padre" attribute="1" defaultMemberUniqueName="[A2020].[nombre_departamento_padre].[All]" allUniqueName="[A2020].[nombre_departamento_padre].[All]" dimensionUniqueName="[A2020]" displayFolder="" count="0" memberValueDatatype="130" unbalanced="0"/>
    <cacheHierarchy uniqueName="[A2020].[numero_nivel]" caption="numero_nivel" attribute="1" defaultMemberUniqueName="[A2020].[numero_nivel].[All]" allUniqueName="[A2020].[numero_nivel].[All]" dimensionUniqueName="[A2020]" displayFolder="" count="0" memberValueDatatype="20" unbalanced="0"/>
    <cacheHierarchy uniqueName="[A2020].[nombre_departamento_hijo]" caption="nombre_departamento_hijo" attribute="1" defaultMemberUniqueName="[A2020].[nombre_departamento_hijo].[All]" allUniqueName="[A2020].[nombre_departamento_hijo].[All]" dimensionUniqueName="[A2020]" displayFolder="" count="0" memberValueDatatype="130" unbalanced="0"/>
    <cacheHierarchy uniqueName="[A2020].[proyecto]" caption="proyecto" attribute="1" defaultMemberUniqueName="[A2020].[proyecto].[All]" allUniqueName="[A2020].[proyecto].[All]" dimensionUniqueName="[A2020]" displayFolder="" count="0" memberValueDatatype="130" unbalanced="0"/>
    <cacheHierarchy uniqueName="[A2020].[grupo_jerarquia]" caption="grupo_jerarquia" attribute="1" defaultMemberUniqueName="[A2020].[grupo_jerarquia].[All]" allUniqueName="[A2020].[grupo_jerarquia].[All]" dimensionUniqueName="[A2020]" displayFolder="" count="0" memberValueDatatype="130" unbalanced="0"/>
    <cacheHierarchy uniqueName="[A2020].[nombre_grupo_jerarquia]" caption="nombre_grupo_jerarquia" attribute="1" defaultMemberUniqueName="[A2020].[nombre_grupo_jerarquia].[All]" allUniqueName="[A2020].[nombre_grupo_jerarquia].[All]" dimensionUniqueName="[A2020]" displayFolder="" count="0" memberValueDatatype="130" unbalanced="0"/>
    <cacheHierarchy uniqueName="[A2020].[tipo_cuenta]" caption="tipo_cuenta" attribute="1" defaultMemberUniqueName="[A2020].[tipo_cuenta].[All]" allUniqueName="[A2020].[tipo_cuenta].[All]" dimensionUniqueName="[A2020]" displayFolder="" count="0" memberValueDatatype="130" unbalanced="0"/>
    <cacheHierarchy uniqueName="[A2020].[nombre_tipo_cuenta]" caption="nombre_tipo_cuenta" attribute="1" defaultMemberUniqueName="[A2020].[nombre_tipo_cuenta].[All]" allUniqueName="[A2020].[nombre_tipo_cuenta].[All]" dimensionUniqueName="[A2020]" displayFolder="" count="0" memberValueDatatype="130" unbalanced="0"/>
    <cacheHierarchy uniqueName="[A2020].[tipo_unidad]" caption="tipo_unidad" attribute="1" defaultMemberUniqueName="[A2020].[tipo_unidad].[All]" allUniqueName="[A2020].[tipo_unidad].[All]" dimensionUniqueName="[A2020]" displayFolder="" count="0" memberValueDatatype="130" unbalanced="0"/>
    <cacheHierarchy uniqueName="[A2020].[nombre_tipo_unidad]" caption="nombre_tipo_unidad" attribute="1" defaultMemberUniqueName="[A2020].[nombre_tipo_unidad].[All]" allUniqueName="[A2020].[nombre_tipo_unidad].[All]" dimensionUniqueName="[A2020]" displayFolder="" count="0" memberValueDatatype="130" unbalanced="0"/>
    <cacheHierarchy uniqueName="[A2020].[tipo_programa]" caption="tipo_programa" attribute="1" defaultMemberUniqueName="[A2020].[tipo_programa].[All]" allUniqueName="[A2020].[tipo_programa].[All]" dimensionUniqueName="[A2020]" displayFolder="" count="0" memberValueDatatype="130" unbalanced="0"/>
    <cacheHierarchy uniqueName="[A2020].[nombre_tipo_programa]" caption="nombre_tipo_programa" attribute="1" defaultMemberUniqueName="[A2020].[nombre_tipo_programa].[All]" allUniqueName="[A2020].[nombre_tipo_programa].[All]" dimensionUniqueName="[A2020]" displayFolder="" count="0" memberValueDatatype="130" unbalanced="0"/>
    <cacheHierarchy uniqueName="[A2020].[nombre_metodologia]" caption="nombre_metodologia" attribute="1" defaultMemberUniqueName="[A2020].[nombre_metodologia].[All]" allUniqueName="[A2020].[nombre_metodologia].[All]" dimensionUniqueName="[A2020]" displayFolder="" count="0" memberValueDatatype="130" unbalanced="0"/>
    <cacheHierarchy uniqueName="[A2020].[tipo_departamento]" caption="tipo_departamento" attribute="1" defaultMemberUniqueName="[A2020].[tipo_departamento].[All]" allUniqueName="[A2020].[tipo_departamento].[All]" dimensionUniqueName="[A2020]" displayFolder="" count="0" memberValueDatatype="130" unbalanced="0"/>
    <cacheHierarchy uniqueName="[A2020].[horizonte]" caption="horizonte" attribute="1" defaultMemberUniqueName="[A2020].[horizonte].[All]" allUniqueName="[A2020].[horizonte].[All]" dimensionUniqueName="[A2020]" displayFolder="" count="0" memberValueDatatype="130" unbalanced="0"/>
    <cacheHierarchy uniqueName="[IF].[ano]" caption="ano" attribute="1" defaultMemberUniqueName="[IF].[ano].[All]" allUniqueName="[IF].[ano].[All]" dimensionUniqueName="[IF]" displayFolder="" count="0" memberValueDatatype="20" unbalanced="0"/>
    <cacheHierarchy uniqueName="[IF].[mes]" caption="mes" attribute="1" defaultMemberUniqueName="[IF].[mes].[All]" allUniqueName="[IF].[mes].[All]" dimensionUniqueName="[IF]" displayFolder="" count="0" memberValueDatatype="20" unbalanced="0"/>
    <cacheHierarchy uniqueName="[IF].[cuenta_ppto]" caption="cuenta_ppto" attribute="1" defaultMemberUniqueName="[IF].[cuenta_ppto].[All]" allUniqueName="[IF].[cuenta_ppto].[All]" dimensionUniqueName="[IF]" displayFolder="" count="0" memberValueDatatype="130" unbalanced="0"/>
    <cacheHierarchy uniqueName="[IF].[nombre_cuenta]" caption="nombre_cuenta" attribute="1" defaultMemberUniqueName="[IF].[nombre_cuenta].[All]" allUniqueName="[IF].[nombre_cuenta].[All]" dimensionUniqueName="[IF]" displayFolder="" count="0" memberValueDatatype="130" unbalanced="0"/>
    <cacheHierarchy uniqueName="[IF].[grupo_cuenta]" caption="grupo_cuenta" attribute="1" defaultMemberUniqueName="[IF].[grupo_cuenta].[All]" allUniqueName="[IF].[grupo_cuenta].[All]" dimensionUniqueName="[IF]" displayFolder="" count="0" memberValueDatatype="130" unbalanced="0"/>
    <cacheHierarchy uniqueName="[IF].[grupo_analisis]" caption="grupo_analisis" attribute="1" defaultMemberUniqueName="[IF].[grupo_analisis].[All]" allUniqueName="[IF].[grupo_analisis].[All]" dimensionUniqueName="[IF]" displayFolder="" count="0" memberValueDatatype="130" unbalanced="0"/>
    <cacheHierarchy uniqueName="[IF].[valor]" caption="valor" attribute="1" defaultMemberUniqueName="[IF].[valor].[All]" allUniqueName="[IF].[valor].[All]" dimensionUniqueName="[IF]" displayFolder="" count="0" memberValueDatatype="5" unbalanced="0"/>
    <cacheHierarchy uniqueName="[IF].[informacion]" caption="informacion" attribute="1" defaultMemberUniqueName="[IF].[informacion].[All]" allUniqueName="[IF].[informacion].[All]" dimensionUniqueName="[IF]" displayFolder="" count="0" memberValueDatatype="130" unbalanced="0"/>
    <cacheHierarchy uniqueName="[IF].[departamento_padre]" caption="departamento_padre" attribute="1" defaultMemberUniqueName="[IF].[departamento_padre].[All]" allUniqueName="[IF].[departamento_padre].[All]" dimensionUniqueName="[IF]" displayFolder="" count="0" memberValueDatatype="130" unbalanced="0"/>
    <cacheHierarchy uniqueName="[IF].[departamento_hijo]" caption="departamento_hijo" attribute="1" defaultMemberUniqueName="[IF].[departamento_hijo].[All]" allUniqueName="[IF].[departamento_hijo].[All]" dimensionUniqueName="[IF]" displayFolder="" count="0" memberValueDatatype="130" unbalanced="0"/>
    <cacheHierarchy uniqueName="[IF].[departamento_jerarquia1]" caption="departamento_jerarquia1" attribute="1" defaultMemberUniqueName="[IF].[departamento_jerarquia1].[All]" allUniqueName="[IF].[departamento_jerarquia1].[All]" dimensionUniqueName="[IF]" displayFolder="" count="2" memberValueDatatype="130" unbalanced="0">
      <fieldsUsage count="2">
        <fieldUsage x="-1"/>
        <fieldUsage x="3"/>
      </fieldsUsage>
    </cacheHierarchy>
    <cacheHierarchy uniqueName="[IF].[departamento_jerarquia2]" caption="departamento_jerarquia2" attribute="1" defaultMemberUniqueName="[IF].[departamento_jerarquia2].[All]" allUniqueName="[IF].[departamento_jerarquia2].[All]" dimensionUniqueName="[IF]" displayFolder="" count="0" memberValueDatatype="130" unbalanced="0"/>
    <cacheHierarchy uniqueName="[IF].[nombre_departamento_padre]" caption="nombre_departamento_padre" attribute="1" defaultMemberUniqueName="[IF].[nombre_departamento_padre].[All]" allUniqueName="[IF].[nombre_departamento_padre].[All]" dimensionUniqueName="[IF]" displayFolder="" count="0" memberValueDatatype="130" unbalanced="0"/>
    <cacheHierarchy uniqueName="[IF].[numero_nivel]" caption="numero_nivel" attribute="1" defaultMemberUniqueName="[IF].[numero_nivel].[All]" allUniqueName="[IF].[numero_nivel].[All]" dimensionUniqueName="[IF]" displayFolder="" count="0" memberValueDatatype="20" unbalanced="0"/>
    <cacheHierarchy uniqueName="[IF].[nombre_departamento_hijo]" caption="nombre_departamento_hijo" attribute="1" defaultMemberUniqueName="[IF].[nombre_departamento_hijo].[All]" allUniqueName="[IF].[nombre_departamento_hijo].[All]" dimensionUniqueName="[IF]" displayFolder="" count="0" memberValueDatatype="130" unbalanced="0"/>
    <cacheHierarchy uniqueName="[IF].[proyecto]" caption="proyecto" attribute="1" defaultMemberUniqueName="[IF].[proyecto].[All]" allUniqueName="[IF].[proyecto].[All]" dimensionUniqueName="[IF]" displayFolder="" count="0" memberValueDatatype="130" unbalanced="0"/>
    <cacheHierarchy uniqueName="[IF].[grupo_jerarquia]" caption="grupo_jerarquia" attribute="1" defaultMemberUniqueName="[IF].[grupo_jerarquia].[All]" allUniqueName="[IF].[grupo_jerarquia].[All]" dimensionUniqueName="[IF]" displayFolder="" count="0" memberValueDatatype="130" unbalanced="0"/>
    <cacheHierarchy uniqueName="[IF].[nombre_grupo_jerarquia]" caption="nombre_grupo_jerarquia" attribute="1" defaultMemberUniqueName="[IF].[nombre_grupo_jerarquia].[All]" allUniqueName="[IF].[nombre_grupo_jerarquia].[All]" dimensionUniqueName="[IF]" displayFolder="" count="0" memberValueDatatype="130" unbalanced="0"/>
    <cacheHierarchy uniqueName="[IF].[tipo_cuenta]" caption="tipo_cuenta" attribute="1" defaultMemberUniqueName="[IF].[tipo_cuenta].[All]" allUniqueName="[IF].[tipo_cuenta].[All]" dimensionUniqueName="[IF]" displayFolder="" count="0" memberValueDatatype="130" unbalanced="0"/>
    <cacheHierarchy uniqueName="[IF].[nombre_tipo_cuenta]" caption="nombre_tipo_cuenta" attribute="1" defaultMemberUniqueName="[IF].[nombre_tipo_cuenta].[All]" allUniqueName="[IF].[nombre_tipo_cuenta].[All]" dimensionUniqueName="[IF]" displayFolder="" count="0" memberValueDatatype="130" unbalanced="0"/>
    <cacheHierarchy uniqueName="[IF].[tipo_unidad]" caption="tipo_unidad" attribute="1" defaultMemberUniqueName="[IF].[tipo_unidad].[All]" allUniqueName="[IF].[tipo_unidad].[All]" dimensionUniqueName="[IF]" displayFolder="" count="0" memberValueDatatype="130" unbalanced="0"/>
    <cacheHierarchy uniqueName="[IF].[nombre_tipo_unidad]" caption="nombre_tipo_unidad" attribute="1" defaultMemberUniqueName="[IF].[nombre_tipo_unidad].[All]" allUniqueName="[IF].[nombre_tipo_unidad].[All]" dimensionUniqueName="[IF]" displayFolder="" count="0" memberValueDatatype="130" unbalanced="0"/>
    <cacheHierarchy uniqueName="[IF].[tipo_programa]" caption="tipo_programa" attribute="1" defaultMemberUniqueName="[IF].[tipo_programa].[All]" allUniqueName="[IF].[tipo_programa].[All]" dimensionUniqueName="[IF]" displayFolder="" count="0" memberValueDatatype="130" unbalanced="0"/>
    <cacheHierarchy uniqueName="[IF].[nombre_tipo_programa]" caption="nombre_tipo_programa" attribute="1" defaultMemberUniqueName="[IF].[nombre_tipo_programa].[All]" allUniqueName="[IF].[nombre_tipo_programa].[All]" dimensionUniqueName="[IF]" displayFolder="" count="0" memberValueDatatype="130" unbalanced="0"/>
    <cacheHierarchy uniqueName="[IF].[nombre_metodologia]" caption="nombre_metodologia" attribute="1" defaultMemberUniqueName="[IF].[nombre_metodologia].[All]" allUniqueName="[IF].[nombre_metodologia].[All]" dimensionUniqueName="[IF]" displayFolder="" count="0" memberValueDatatype="130" unbalanced="0"/>
    <cacheHierarchy uniqueName="[IF].[tipo_departamento]" caption="tipo_departamento" attribute="1" defaultMemberUniqueName="[IF].[tipo_departamento].[All]" allUniqueName="[IF].[tipo_departamento].[All]" dimensionUniqueName="[IF]" displayFolder="" count="0" memberValueDatatype="130" unbalanced="0"/>
    <cacheHierarchy uniqueName="[IF].[horizonte]" caption="horizonte" attribute="1" defaultMemberUniqueName="[IF].[horizonte].[All]" allUniqueName="[IF].[horizonte].[All]" dimensionUniqueName="[IF]" displayFolder="" count="0" memberValueDatatype="130" unbalanced="0"/>
    <cacheHierarchy uniqueName="[poblacion_postgrado].[ano]" caption="ano" attribute="1" defaultMemberUniqueName="[poblacion_postgrado].[ano].[All]" allUniqueName="[poblacion_postgrado].[ano].[All]" dimensionUniqueName="[poblacion_postgrado]" displayFolder="" count="0" memberValueDatatype="20" unbalanced="0"/>
    <cacheHierarchy uniqueName="[poblacion_postgrado].[periodo]" caption="periodo" attribute="1" defaultMemberUniqueName="[poblacion_postgrado].[periodo].[All]" allUniqueName="[poblacion_postgrado].[periodo].[All]" dimensionUniqueName="[poblacion_postgrado]" displayFolder="" count="0" memberValueDatatype="130" unbalanced="0"/>
    <cacheHierarchy uniqueName="[poblacion_postgrado].[semestre]" caption="semestre" attribute="1" defaultMemberUniqueName="[poblacion_postgrado].[semestre].[All]" allUniqueName="[poblacion_postgrado].[semestre].[All]" dimensionUniqueName="[poblacion_postgrado]" displayFolder="" count="0" memberValueDatatype="20" unbalanced="0"/>
    <cacheHierarchy uniqueName="[poblacion_postgrado].[fecha]" caption="fecha" attribute="1" defaultMemberUniqueName="[poblacion_postgrado].[fecha].[All]" allUniqueName="[poblacion_postgrado].[fecha].[All]" dimensionUniqueName="[poblacion_postgrado]" displayFolder="" count="0" memberValueDatatype="130" unbalanced="0"/>
    <cacheHierarchy uniqueName="[poblacion_postgrado].[departamento_padre]" caption="departamento_padre" attribute="1" defaultMemberUniqueName="[poblacion_postgrado].[departamento_padre].[All]" allUniqueName="[poblacion_postgrado].[departamento_padre].[All]" dimensionUniqueName="[poblacion_postgrado]" displayFolder="" count="0" memberValueDatatype="130" unbalanced="0"/>
    <cacheHierarchy uniqueName="[poblacion_postgrado].[nombre_departamento_padre]" caption="nombre_departamento_padre" attribute="1" defaultMemberUniqueName="[poblacion_postgrado].[nombre_departamento_padre].[All]" allUniqueName="[poblacion_postgrado].[nombre_departamento_padre].[All]" dimensionUniqueName="[poblacion_postgrado]" displayFolder="" count="0" memberValueDatatype="130" unbalanced="0"/>
    <cacheHierarchy uniqueName="[poblacion_postgrado].[departamento]" caption="departamento" attribute="1" defaultMemberUniqueName="[poblacion_postgrado].[departamento].[All]" allUniqueName="[poblacion_postgrado].[departamento].[All]" dimensionUniqueName="[poblacion_postgrado]" displayFolder="" count="0" memberValueDatatype="130" unbalanced="0"/>
    <cacheHierarchy uniqueName="[poblacion_postgrado].[nombre_departamento_hijo]" caption="nombre_departamento_hijo" attribute="1" defaultMemberUniqueName="[poblacion_postgrado].[nombre_departamento_hijo].[All]" allUniqueName="[poblacion_postgrado].[nombre_departamento_hijo].[All]" dimensionUniqueName="[poblacion_postgrado]" displayFolder="" count="0" memberValueDatatype="130" unbalanced="0"/>
    <cacheHierarchy uniqueName="[poblacion_postgrado].[tipo_programa]" caption="tipo_programa" attribute="1" defaultMemberUniqueName="[poblacion_postgrado].[tipo_programa].[All]" allUniqueName="[poblacion_postgrado].[tipo_programa].[All]" dimensionUniqueName="[poblacion_postgrado]" displayFolder="" count="0" memberValueDatatype="130" unbalanced="0"/>
    <cacheHierarchy uniqueName="[poblacion_postgrado].[nombre_tipo_programa]" caption="nombre_tipo_programa" attribute="1" defaultMemberUniqueName="[poblacion_postgrado].[nombre_tipo_programa].[All]" allUniqueName="[poblacion_postgrado].[nombre_tipo_programa].[All]" dimensionUniqueName="[poblacion_postgrado]" displayFolder="" count="0" memberValueDatatype="130" unbalanced="0"/>
    <cacheHierarchy uniqueName="[poblacion_postgrado].[nombre_metodologia]" caption="nombre_metodologia" attribute="1" defaultMemberUniqueName="[poblacion_postgrado].[nombre_metodologia].[All]" allUniqueName="[poblacion_postgrado].[nombre_metodologia].[All]" dimensionUniqueName="[poblacion_postgrado]" displayFolder="" count="0" memberValueDatatype="130" unbalanced="0"/>
    <cacheHierarchy uniqueName="[poblacion_postgrado].[ppto_nuevos]" caption="ppto_nuevos" attribute="1" defaultMemberUniqueName="[poblacion_postgrado].[ppto_nuevos].[All]" allUniqueName="[poblacion_postgrado].[ppto_nuevos].[All]" dimensionUniqueName="[poblacion_postgrado]" displayFolder="" count="0" memberValueDatatype="20" unbalanced="0"/>
    <cacheHierarchy uniqueName="[poblacion_postgrado].[ppto_antiguos]" caption="ppto_antiguos" attribute="1" defaultMemberUniqueName="[poblacion_postgrado].[ppto_antiguos].[All]" allUniqueName="[poblacion_postgrado].[ppto_antiguos].[All]" dimensionUniqueName="[poblacion_postgrado]" displayFolder="" count="0" memberValueDatatype="20" unbalanced="0"/>
    <cacheHierarchy uniqueName="[poblacion_postgrado].[real_nuevos]" caption="real_nuevos" attribute="1" defaultMemberUniqueName="[poblacion_postgrado].[real_nuevos].[All]" allUniqueName="[poblacion_postgrado].[real_nuevos].[All]" dimensionUniqueName="[poblacion_postgrado]" displayFolder="" count="0" memberValueDatatype="20" unbalanced="0"/>
    <cacheHierarchy uniqueName="[poblacion_postgrado].[real_antiguos]" caption="real_antiguos" attribute="1" defaultMemberUniqueName="[poblacion_postgrado].[real_antiguos].[All]" allUniqueName="[poblacion_postgrado].[real_antiguos].[All]" dimensionUniqueName="[poblacion_postgrado]" displayFolder="" count="0" memberValueDatatype="20" unbalanced="0"/>
    <cacheHierarchy uniqueName="[poblacion_postgrado].[ppto]" caption="ppto" attribute="1" defaultMemberUniqueName="[poblacion_postgrado].[ppto].[All]" allUniqueName="[poblacion_postgrado].[ppto].[All]" dimensionUniqueName="[poblacion_postgrado]" displayFolder="" count="0" memberValueDatatype="20" unbalanced="0"/>
    <cacheHierarchy uniqueName="[poblacion_postgrado].[real]" caption="real" attribute="1" defaultMemberUniqueName="[poblacion_postgrado].[real].[All]" allUniqueName="[poblacion_postgrado].[real].[All]" dimensionUniqueName="[poblacion_postgrado]" displayFolder="" count="0" memberValueDatatype="20" unbalanced="0"/>
    <cacheHierarchy uniqueName="[poblacion_postgrado].[diferencia]" caption="diferencia" attribute="1" defaultMemberUniqueName="[poblacion_postgrado].[diferencia].[All]" allUniqueName="[poblacion_postgrado].[diferencia].[All]" dimensionUniqueName="[poblacion_postgrado]" displayFolder="" count="0" memberValueDatatype="20" unbalanced="0"/>
    <cacheHierarchy uniqueName="[poblacion_pregrado].[ano]" caption="ano" attribute="1" defaultMemberUniqueName="[poblacion_pregrado].[ano].[All]" allUniqueName="[poblacion_pregrado].[ano].[All]" dimensionUniqueName="[poblacion_pregrado]" displayFolder="" count="2" memberValueDatatype="20" unbalanced="0">
      <fieldsUsage count="2">
        <fieldUsage x="-1"/>
        <fieldUsage x="1"/>
      </fieldsUsage>
    </cacheHierarchy>
    <cacheHierarchy uniqueName="[poblacion_pregrado].[periodo]" caption="periodo" attribute="1" defaultMemberUniqueName="[poblacion_pregrado].[periodo].[All]" allUniqueName="[poblacion_pregrado].[periodo].[All]" dimensionUniqueName="[poblacion_pregrado]" displayFolder="" count="0" memberValueDatatype="130" unbalanced="0"/>
    <cacheHierarchy uniqueName="[poblacion_pregrado].[semestre]" caption="semestre" attribute="1" defaultMemberUniqueName="[poblacion_pregrado].[semestre].[All]" allUniqueName="[poblacion_pregrado].[semestre].[All]" dimensionUniqueName="[poblacion_pregrado]" displayFolder="" count="2" memberValueDatatype="20" unbalanced="0">
      <fieldsUsage count="2">
        <fieldUsage x="-1"/>
        <fieldUsage x="2"/>
      </fieldsUsage>
    </cacheHierarchy>
    <cacheHierarchy uniqueName="[poblacion_pregrado].[departamento_padre]" caption="departamento_padre" attribute="1" defaultMemberUniqueName="[poblacion_pregrado].[departamento_padre].[All]" allUniqueName="[poblacion_pregrado].[departamento_padre].[All]" dimensionUniqueName="[poblacion_pregrado]" displayFolder="" count="0" memberValueDatatype="130" unbalanced="0"/>
    <cacheHierarchy uniqueName="[poblacion_pregrado].[nombre_departamento_padre]" caption="nombre_departamento_padre" attribute="1" defaultMemberUniqueName="[poblacion_pregrado].[nombre_departamento_padre].[All]" allUniqueName="[poblacion_pregrado].[nombre_departamento_padre].[All]" dimensionUniqueName="[poblacion_pregrado]" displayFolder="" count="2" memberValueDatatype="130" unbalanced="0">
      <fieldsUsage count="2">
        <fieldUsage x="-1"/>
        <fieldUsage x="5"/>
      </fieldsUsage>
    </cacheHierarchy>
    <cacheHierarchy uniqueName="[poblacion_pregrado].[departamento]" caption="departamento" attribute="1" defaultMemberUniqueName="[poblacion_pregrado].[departamento].[All]" allUniqueName="[poblacion_pregrado].[departamento].[All]" dimensionUniqueName="[poblacion_pregrado]" displayFolder="" count="0" memberValueDatatype="130" unbalanced="0"/>
    <cacheHierarchy uniqueName="[poblacion_pregrado].[nombre_departamento_hijo]" caption="nombre_departamento_hijo" attribute="1" defaultMemberUniqueName="[poblacion_pregrado].[nombre_departamento_hijo].[All]" allUniqueName="[poblacion_pregrado].[nombre_departamento_hijo].[All]" dimensionUniqueName="[poblacion_pregrado]" displayFolder="" count="2" memberValueDatatype="130" unbalanced="0">
      <fieldsUsage count="2">
        <fieldUsage x="-1"/>
        <fieldUsage x="0"/>
      </fieldsUsage>
    </cacheHierarchy>
    <cacheHierarchy uniqueName="[poblacion_pregrado].[nombre_tipo_estudiante]" caption="nombre_tipo_estudiante" attribute="1" defaultMemberUniqueName="[poblacion_pregrado].[nombre_tipo_estudiante].[All]" allUniqueName="[poblacion_pregrado].[nombre_tipo_estudiante].[All]" dimensionUniqueName="[poblacion_pregrado]" displayFolder="" count="0" memberValueDatatype="130" unbalanced="0"/>
    <cacheHierarchy uniqueName="[poblacion_pregrado].[ppto_nuevos]" caption="ppto_nuevos" attribute="1" defaultMemberUniqueName="[poblacion_pregrado].[ppto_nuevos].[All]" allUniqueName="[poblacion_pregrado].[ppto_nuevos].[All]" dimensionUniqueName="[poblacion_pregrado]" displayFolder="" count="0" memberValueDatatype="5" unbalanced="0"/>
    <cacheHierarchy uniqueName="[poblacion_pregrado].[ppto_antiguos]" caption="ppto_antiguos" attribute="1" defaultMemberUniqueName="[poblacion_pregrado].[ppto_antiguos].[All]" allUniqueName="[poblacion_pregrado].[ppto_antiguos].[All]" dimensionUniqueName="[poblacion_pregrado]" displayFolder="" count="0" memberValueDatatype="5" unbalanced="0"/>
    <cacheHierarchy uniqueName="[poblacion_pregrado].[real_nuevos]" caption="real_nuevos" attribute="1" defaultMemberUniqueName="[poblacion_pregrado].[real_nuevos].[All]" allUniqueName="[poblacion_pregrado].[real_nuevos].[All]" dimensionUniqueName="[poblacion_pregrado]" displayFolder="" count="0" memberValueDatatype="5" unbalanced="0"/>
    <cacheHierarchy uniqueName="[poblacion_pregrado].[real_antiguos]" caption="real_antiguos" attribute="1" defaultMemberUniqueName="[poblacion_pregrado].[real_antiguos].[All]" allUniqueName="[poblacion_pregrado].[real_antiguos].[All]" dimensionUniqueName="[poblacion_pregrado]" displayFolder="" count="0" memberValueDatatype="5" unbalanced="0"/>
    <cacheHierarchy uniqueName="[poblacion_pregrado].[ppto]" caption="ppto" attribute="1" defaultMemberUniqueName="[poblacion_pregrado].[ppto].[All]" allUniqueName="[poblacion_pregrado].[ppto].[All]" dimensionUniqueName="[poblacion_pregrado]" displayFolder="" count="0" memberValueDatatype="5" unbalanced="0"/>
    <cacheHierarchy uniqueName="[poblacion_pregrado].[real]" caption="real" attribute="1" defaultMemberUniqueName="[poblacion_pregrado].[real].[All]" allUniqueName="[poblacion_pregrado].[real].[All]" dimensionUniqueName="[poblacion_pregrado]" displayFolder="" count="0" memberValueDatatype="5" unbalanced="0"/>
    <cacheHierarchy uniqueName="[poblacion_pregrado].[diferencia]" caption="diferencia" attribute="1" defaultMemberUniqueName="[poblacion_pregrado].[diferencia].[All]" allUniqueName="[poblacion_pregrado].[diferencia].[All]" dimensionUniqueName="[poblacion_pregrado]" displayFolder="" count="0" memberValueDatatype="5" unbalanced="0"/>
    <cacheHierarchy uniqueName="[Measures].[__XL_Count A2020]" caption="__XL_Count A2020" measure="1" displayFolder="" measureGroup="A2020" count="0" hidden="1"/>
    <cacheHierarchy uniqueName="[Measures].[__XL_Count IF]" caption="__XL_Count IF" measure="1" displayFolder="" measureGroup="IF" count="0" hidden="1"/>
    <cacheHierarchy uniqueName="[Measures].[__XL_Count poblacion_pregrado]" caption="__XL_Count poblacion_pregrado" measure="1" displayFolder="" measureGroup="poblacion_pregrado" count="0" hidden="1"/>
    <cacheHierarchy uniqueName="[Measures].[__XL_Count poblacion_postgrado]" caption="__XL_Count poblacion_postgrado" measure="1" displayFolder="" measureGroup="poblacion_postgrado" count="0" hidden="1"/>
    <cacheHierarchy uniqueName="[Measures].[__No measures defined]" caption="__No measures defined" measure="1" displayFolder="" count="0" hidden="1"/>
    <cacheHierarchy uniqueName="[Measures].[Suma de valor]" caption="Suma de valor" measure="1" displayFolder="" measureGroup="IF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real]" caption="Suma de real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al_nuevos]" caption="Suma de real_nuev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real_antiguos]" caption="Suma de real_antiguos" measure="1" displayFolder="" measureGroup="poblacion_pregrado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real 2]" caption="Suma de real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eal_nuevos 2]" caption="Suma de real_nuev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real_antiguos 2]" caption="Suma de real_antigu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</cacheHierarchies>
  <kpis count="0"/>
  <dimensions count="5">
    <dimension name="A2020" uniqueName="[A2020]" caption="A2020"/>
    <dimension name="IF" uniqueName="[IF]" caption="IF"/>
    <dimension measure="1" name="Measures" uniqueName="[Measures]" caption="Measures"/>
    <dimension name="poblacion_postgrado" uniqueName="[poblacion_postgrado]" caption="poblacion_postgrado"/>
    <dimension name="poblacion_pregrado" uniqueName="[poblacion_pregrado]" caption="poblacion_pregrado"/>
  </dimensions>
  <measureGroups count="4">
    <measureGroup name="A2020" caption="A2020"/>
    <measureGroup name="IF" caption="IF"/>
    <measureGroup name="poblacion_postgrado" caption="poblacion_postgrado"/>
    <measureGroup name="poblacion_pregrado" caption="poblacion_pregrado"/>
  </measureGroups>
  <maps count="4">
    <map measureGroup="0" dimension="0"/>
    <map measureGroup="1" dimension="1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los Alberto Ceballos Gutierrez" refreshedDate="44383.58724375" createdVersion="5" refreshedVersion="7" minRefreshableVersion="3" recordCount="0" supportSubquery="1" supportAdvancedDrill="1" xr:uid="{D94BB381-F74D-4223-8441-4461DB9D2FFA}">
  <cacheSource type="external" connectionId="8"/>
  <cacheFields count="6">
    <cacheField name="[poblacion_pregrado].[nombre_departamento_hijo].[nombre_departamento_hijo]" caption="nombre_departamento_hijo" numFmtId="0" hierarchy="78" level="1">
      <sharedItems count="3">
        <s v="PROG COMUNICACION CORPORATIVA"/>
        <s v="PROG DE COM AUDVISUAL Y MULTIM"/>
        <s v="PROG DE COMUNICACION SOCIAL"/>
      </sharedItems>
    </cacheField>
    <cacheField name="[poblacion_pregrado].[ano].[ano]" caption="ano" numFmtId="0" hierarchy="72" level="1">
      <sharedItems containsSemiMixedTypes="0" containsString="0" containsNumber="1" containsInteger="1" minValue="2018" maxValue="2021" count="4"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oblacion_pregrado].[ano].&amp;[2018]"/>
            <x15:cachedUniqueName index="1" name="[poblacion_pregrado].[ano].&amp;[2019]"/>
            <x15:cachedUniqueName index="2" name="[poblacion_pregrado].[ano].&amp;[2020]"/>
            <x15:cachedUniqueName index="3" name="[poblacion_pregrado].[ano].&amp;[2021]"/>
          </x15:cachedUniqueNames>
        </ext>
      </extLst>
    </cacheField>
    <cacheField name="[poblacion_pregrado].[semestre].[semestre]" caption="semestre" numFmtId="0" hierarchy="74" level="1">
      <sharedItems containsSemiMixedTypes="0" containsString="0" containsNumber="1" containsInteger="1" minValue="1" maxValue="2" count="2">
        <n v="1"/>
        <n v="2"/>
      </sharedItems>
      <extLst>
        <ext xmlns:x15="http://schemas.microsoft.com/office/spreadsheetml/2010/11/main" uri="{4F2E5C28-24EA-4eb8-9CBF-B6C8F9C3D259}">
          <x15:cachedUniqueNames>
            <x15:cachedUniqueName index="0" name="[poblacion_pregrado].[semestre].&amp;[1]"/>
            <x15:cachedUniqueName index="1" name="[poblacion_pregrado].[semestre].&amp;[2]"/>
          </x15:cachedUniqueNames>
        </ext>
      </extLst>
    </cacheField>
    <cacheField name="[IF].[departamento_jerarquia1].[departamento_jerarquia1]" caption="departamento_jerarquia1" numFmtId="0" hierarchy="37" level="1">
      <sharedItems containsSemiMixedTypes="0" containsNonDate="0" containsString="0"/>
    </cacheField>
    <cacheField name="[Measures].[Suma de real_nuevos]" caption="Suma de real_nuevos" numFmtId="0" hierarchy="94" level="32767"/>
    <cacheField name="[poblacion_pregrado].[nombre_departamento_padre].[nombre_departamento_padre]" caption="nombre_departamento_padre" numFmtId="0" hierarchy="76" level="1">
      <sharedItems containsSemiMixedTypes="0" containsNonDate="0" containsString="0"/>
    </cacheField>
  </cacheFields>
  <cacheHierarchies count="99">
    <cacheHierarchy uniqueName="[A2020].[ano]" caption="ano" attribute="1" defaultMemberUniqueName="[A2020].[ano].[All]" allUniqueName="[A2020].[ano].[All]" dimensionUniqueName="[A2020]" displayFolder="" count="0" memberValueDatatype="20" unbalanced="0"/>
    <cacheHierarchy uniqueName="[A2020].[mes]" caption="mes" attribute="1" defaultMemberUniqueName="[A2020].[mes].[All]" allUniqueName="[A2020].[mes].[All]" dimensionUniqueName="[A2020]" displayFolder="" count="0" memberValueDatatype="20" unbalanced="0"/>
    <cacheHierarchy uniqueName="[A2020].[cuenta_ppto]" caption="cuenta_ppto" attribute="1" defaultMemberUniqueName="[A2020].[cuenta_ppto].[All]" allUniqueName="[A2020].[cuenta_ppto].[All]" dimensionUniqueName="[A2020]" displayFolder="" count="0" memberValueDatatype="130" unbalanced="0"/>
    <cacheHierarchy uniqueName="[A2020].[nombre_cuenta]" caption="nombre_cuenta" attribute="1" defaultMemberUniqueName="[A2020].[nombre_cuenta].[All]" allUniqueName="[A2020].[nombre_cuenta].[All]" dimensionUniqueName="[A2020]" displayFolder="" count="0" memberValueDatatype="130" unbalanced="0"/>
    <cacheHierarchy uniqueName="[A2020].[grupo_cuenta]" caption="grupo_cuenta" attribute="1" defaultMemberUniqueName="[A2020].[grupo_cuenta].[All]" allUniqueName="[A2020].[grupo_cuenta].[All]" dimensionUniqueName="[A2020]" displayFolder="" count="0" memberValueDatatype="130" unbalanced="0"/>
    <cacheHierarchy uniqueName="[A2020].[grupo_analisis]" caption="grupo_analisis" attribute="1" defaultMemberUniqueName="[A2020].[grupo_analisis].[All]" allUniqueName="[A2020].[grupo_analisis].[All]" dimensionUniqueName="[A2020]" displayFolder="" count="0" memberValueDatatype="130" unbalanced="0"/>
    <cacheHierarchy uniqueName="[A2020].[valor]" caption="valor" attribute="1" defaultMemberUniqueName="[A2020].[valor].[All]" allUniqueName="[A2020].[valor].[All]" dimensionUniqueName="[A2020]" displayFolder="" count="0" memberValueDatatype="5" unbalanced="0"/>
    <cacheHierarchy uniqueName="[A2020].[informacion]" caption="informacion" attribute="1" defaultMemberUniqueName="[A2020].[informacion].[All]" allUniqueName="[A2020].[informacion].[All]" dimensionUniqueName="[A2020]" displayFolder="" count="0" memberValueDatatype="130" unbalanced="0"/>
    <cacheHierarchy uniqueName="[A2020].[departamento_padre]" caption="departamento_padre" attribute="1" defaultMemberUniqueName="[A2020].[departamento_padre].[All]" allUniqueName="[A2020].[departamento_padre].[All]" dimensionUniqueName="[A2020]" displayFolder="" count="0" memberValueDatatype="130" unbalanced="0"/>
    <cacheHierarchy uniqueName="[A2020].[departamento_hijo]" caption="departamento_hijo" attribute="1" defaultMemberUniqueName="[A2020].[departamento_hijo].[All]" allUniqueName="[A2020].[departamento_hijo].[All]" dimensionUniqueName="[A2020]" displayFolder="" count="0" memberValueDatatype="130" unbalanced="0"/>
    <cacheHierarchy uniqueName="[A2020].[departamento_jerarquia1]" caption="departamento_jerarquia1" attribute="1" defaultMemberUniqueName="[A2020].[departamento_jerarquia1].[All]" allUniqueName="[A2020].[departamento_jerarquia1].[All]" dimensionUniqueName="[A2020]" displayFolder="" count="0" memberValueDatatype="130" unbalanced="0"/>
    <cacheHierarchy uniqueName="[A2020].[departamento_jerarquia2]" caption="departamento_jerarquia2" attribute="1" defaultMemberUniqueName="[A2020].[departamento_jerarquia2].[All]" allUniqueName="[A2020].[departamento_jerarquia2].[All]" dimensionUniqueName="[A2020]" displayFolder="" count="0" memberValueDatatype="130" unbalanced="0"/>
    <cacheHierarchy uniqueName="[A2020].[nombre_departamento_padre]" caption="nombre_departamento_padre" attribute="1" defaultMemberUniqueName="[A2020].[nombre_departamento_padre].[All]" allUniqueName="[A2020].[nombre_departamento_padre].[All]" dimensionUniqueName="[A2020]" displayFolder="" count="0" memberValueDatatype="130" unbalanced="0"/>
    <cacheHierarchy uniqueName="[A2020].[numero_nivel]" caption="numero_nivel" attribute="1" defaultMemberUniqueName="[A2020].[numero_nivel].[All]" allUniqueName="[A2020].[numero_nivel].[All]" dimensionUniqueName="[A2020]" displayFolder="" count="0" memberValueDatatype="20" unbalanced="0"/>
    <cacheHierarchy uniqueName="[A2020].[nombre_departamento_hijo]" caption="nombre_departamento_hijo" attribute="1" defaultMemberUniqueName="[A2020].[nombre_departamento_hijo].[All]" allUniqueName="[A2020].[nombre_departamento_hijo].[All]" dimensionUniqueName="[A2020]" displayFolder="" count="0" memberValueDatatype="130" unbalanced="0"/>
    <cacheHierarchy uniqueName="[A2020].[proyecto]" caption="proyecto" attribute="1" defaultMemberUniqueName="[A2020].[proyecto].[All]" allUniqueName="[A2020].[proyecto].[All]" dimensionUniqueName="[A2020]" displayFolder="" count="0" memberValueDatatype="130" unbalanced="0"/>
    <cacheHierarchy uniqueName="[A2020].[grupo_jerarquia]" caption="grupo_jerarquia" attribute="1" defaultMemberUniqueName="[A2020].[grupo_jerarquia].[All]" allUniqueName="[A2020].[grupo_jerarquia].[All]" dimensionUniqueName="[A2020]" displayFolder="" count="0" memberValueDatatype="130" unbalanced="0"/>
    <cacheHierarchy uniqueName="[A2020].[nombre_grupo_jerarquia]" caption="nombre_grupo_jerarquia" attribute="1" defaultMemberUniqueName="[A2020].[nombre_grupo_jerarquia].[All]" allUniqueName="[A2020].[nombre_grupo_jerarquia].[All]" dimensionUniqueName="[A2020]" displayFolder="" count="0" memberValueDatatype="130" unbalanced="0"/>
    <cacheHierarchy uniqueName="[A2020].[tipo_cuenta]" caption="tipo_cuenta" attribute="1" defaultMemberUniqueName="[A2020].[tipo_cuenta].[All]" allUniqueName="[A2020].[tipo_cuenta].[All]" dimensionUniqueName="[A2020]" displayFolder="" count="0" memberValueDatatype="130" unbalanced="0"/>
    <cacheHierarchy uniqueName="[A2020].[nombre_tipo_cuenta]" caption="nombre_tipo_cuenta" attribute="1" defaultMemberUniqueName="[A2020].[nombre_tipo_cuenta].[All]" allUniqueName="[A2020].[nombre_tipo_cuenta].[All]" dimensionUniqueName="[A2020]" displayFolder="" count="0" memberValueDatatype="130" unbalanced="0"/>
    <cacheHierarchy uniqueName="[A2020].[tipo_unidad]" caption="tipo_unidad" attribute="1" defaultMemberUniqueName="[A2020].[tipo_unidad].[All]" allUniqueName="[A2020].[tipo_unidad].[All]" dimensionUniqueName="[A2020]" displayFolder="" count="0" memberValueDatatype="130" unbalanced="0"/>
    <cacheHierarchy uniqueName="[A2020].[nombre_tipo_unidad]" caption="nombre_tipo_unidad" attribute="1" defaultMemberUniqueName="[A2020].[nombre_tipo_unidad].[All]" allUniqueName="[A2020].[nombre_tipo_unidad].[All]" dimensionUniqueName="[A2020]" displayFolder="" count="0" memberValueDatatype="130" unbalanced="0"/>
    <cacheHierarchy uniqueName="[A2020].[tipo_programa]" caption="tipo_programa" attribute="1" defaultMemberUniqueName="[A2020].[tipo_programa].[All]" allUniqueName="[A2020].[tipo_programa].[All]" dimensionUniqueName="[A2020]" displayFolder="" count="0" memberValueDatatype="130" unbalanced="0"/>
    <cacheHierarchy uniqueName="[A2020].[nombre_tipo_programa]" caption="nombre_tipo_programa" attribute="1" defaultMemberUniqueName="[A2020].[nombre_tipo_programa].[All]" allUniqueName="[A2020].[nombre_tipo_programa].[All]" dimensionUniqueName="[A2020]" displayFolder="" count="0" memberValueDatatype="130" unbalanced="0"/>
    <cacheHierarchy uniqueName="[A2020].[nombre_metodologia]" caption="nombre_metodologia" attribute="1" defaultMemberUniqueName="[A2020].[nombre_metodologia].[All]" allUniqueName="[A2020].[nombre_metodologia].[All]" dimensionUniqueName="[A2020]" displayFolder="" count="0" memberValueDatatype="130" unbalanced="0"/>
    <cacheHierarchy uniqueName="[A2020].[tipo_departamento]" caption="tipo_departamento" attribute="1" defaultMemberUniqueName="[A2020].[tipo_departamento].[All]" allUniqueName="[A2020].[tipo_departamento].[All]" dimensionUniqueName="[A2020]" displayFolder="" count="0" memberValueDatatype="130" unbalanced="0"/>
    <cacheHierarchy uniqueName="[A2020].[horizonte]" caption="horizonte" attribute="1" defaultMemberUniqueName="[A2020].[horizonte].[All]" allUniqueName="[A2020].[horizonte].[All]" dimensionUniqueName="[A2020]" displayFolder="" count="0" memberValueDatatype="130" unbalanced="0"/>
    <cacheHierarchy uniqueName="[IF].[ano]" caption="ano" attribute="1" defaultMemberUniqueName="[IF].[ano].[All]" allUniqueName="[IF].[ano].[All]" dimensionUniqueName="[IF]" displayFolder="" count="0" memberValueDatatype="20" unbalanced="0"/>
    <cacheHierarchy uniqueName="[IF].[mes]" caption="mes" attribute="1" defaultMemberUniqueName="[IF].[mes].[All]" allUniqueName="[IF].[mes].[All]" dimensionUniqueName="[IF]" displayFolder="" count="0" memberValueDatatype="20" unbalanced="0"/>
    <cacheHierarchy uniqueName="[IF].[cuenta_ppto]" caption="cuenta_ppto" attribute="1" defaultMemberUniqueName="[IF].[cuenta_ppto].[All]" allUniqueName="[IF].[cuenta_ppto].[All]" dimensionUniqueName="[IF]" displayFolder="" count="0" memberValueDatatype="130" unbalanced="0"/>
    <cacheHierarchy uniqueName="[IF].[nombre_cuenta]" caption="nombre_cuenta" attribute="1" defaultMemberUniqueName="[IF].[nombre_cuenta].[All]" allUniqueName="[IF].[nombre_cuenta].[All]" dimensionUniqueName="[IF]" displayFolder="" count="0" memberValueDatatype="130" unbalanced="0"/>
    <cacheHierarchy uniqueName="[IF].[grupo_cuenta]" caption="grupo_cuenta" attribute="1" defaultMemberUniqueName="[IF].[grupo_cuenta].[All]" allUniqueName="[IF].[grupo_cuenta].[All]" dimensionUniqueName="[IF]" displayFolder="" count="0" memberValueDatatype="130" unbalanced="0"/>
    <cacheHierarchy uniqueName="[IF].[grupo_analisis]" caption="grupo_analisis" attribute="1" defaultMemberUniqueName="[IF].[grupo_analisis].[All]" allUniqueName="[IF].[grupo_analisis].[All]" dimensionUniqueName="[IF]" displayFolder="" count="0" memberValueDatatype="130" unbalanced="0"/>
    <cacheHierarchy uniqueName="[IF].[valor]" caption="valor" attribute="1" defaultMemberUniqueName="[IF].[valor].[All]" allUniqueName="[IF].[valor].[All]" dimensionUniqueName="[IF]" displayFolder="" count="0" memberValueDatatype="5" unbalanced="0"/>
    <cacheHierarchy uniqueName="[IF].[informacion]" caption="informacion" attribute="1" defaultMemberUniqueName="[IF].[informacion].[All]" allUniqueName="[IF].[informacion].[All]" dimensionUniqueName="[IF]" displayFolder="" count="0" memberValueDatatype="130" unbalanced="0"/>
    <cacheHierarchy uniqueName="[IF].[departamento_padre]" caption="departamento_padre" attribute="1" defaultMemberUniqueName="[IF].[departamento_padre].[All]" allUniqueName="[IF].[departamento_padre].[All]" dimensionUniqueName="[IF]" displayFolder="" count="0" memberValueDatatype="130" unbalanced="0"/>
    <cacheHierarchy uniqueName="[IF].[departamento_hijo]" caption="departamento_hijo" attribute="1" defaultMemberUniqueName="[IF].[departamento_hijo].[All]" allUniqueName="[IF].[departamento_hijo].[All]" dimensionUniqueName="[IF]" displayFolder="" count="0" memberValueDatatype="130" unbalanced="0"/>
    <cacheHierarchy uniqueName="[IF].[departamento_jerarquia1]" caption="departamento_jerarquia1" attribute="1" defaultMemberUniqueName="[IF].[departamento_jerarquia1].[All]" allUniqueName="[IF].[departamento_jerarquia1].[All]" dimensionUniqueName="[IF]" displayFolder="" count="2" memberValueDatatype="130" unbalanced="0">
      <fieldsUsage count="2">
        <fieldUsage x="-1"/>
        <fieldUsage x="3"/>
      </fieldsUsage>
    </cacheHierarchy>
    <cacheHierarchy uniqueName="[IF].[departamento_jerarquia2]" caption="departamento_jerarquia2" attribute="1" defaultMemberUniqueName="[IF].[departamento_jerarquia2].[All]" allUniqueName="[IF].[departamento_jerarquia2].[All]" dimensionUniqueName="[IF]" displayFolder="" count="0" memberValueDatatype="130" unbalanced="0"/>
    <cacheHierarchy uniqueName="[IF].[nombre_departamento_padre]" caption="nombre_departamento_padre" attribute="1" defaultMemberUniqueName="[IF].[nombre_departamento_padre].[All]" allUniqueName="[IF].[nombre_departamento_padre].[All]" dimensionUniqueName="[IF]" displayFolder="" count="0" memberValueDatatype="130" unbalanced="0"/>
    <cacheHierarchy uniqueName="[IF].[numero_nivel]" caption="numero_nivel" attribute="1" defaultMemberUniqueName="[IF].[numero_nivel].[All]" allUniqueName="[IF].[numero_nivel].[All]" dimensionUniqueName="[IF]" displayFolder="" count="0" memberValueDatatype="20" unbalanced="0"/>
    <cacheHierarchy uniqueName="[IF].[nombre_departamento_hijo]" caption="nombre_departamento_hijo" attribute="1" defaultMemberUniqueName="[IF].[nombre_departamento_hijo].[All]" allUniqueName="[IF].[nombre_departamento_hijo].[All]" dimensionUniqueName="[IF]" displayFolder="" count="0" memberValueDatatype="130" unbalanced="0"/>
    <cacheHierarchy uniqueName="[IF].[proyecto]" caption="proyecto" attribute="1" defaultMemberUniqueName="[IF].[proyecto].[All]" allUniqueName="[IF].[proyecto].[All]" dimensionUniqueName="[IF]" displayFolder="" count="0" memberValueDatatype="130" unbalanced="0"/>
    <cacheHierarchy uniqueName="[IF].[grupo_jerarquia]" caption="grupo_jerarquia" attribute="1" defaultMemberUniqueName="[IF].[grupo_jerarquia].[All]" allUniqueName="[IF].[grupo_jerarquia].[All]" dimensionUniqueName="[IF]" displayFolder="" count="0" memberValueDatatype="130" unbalanced="0"/>
    <cacheHierarchy uniqueName="[IF].[nombre_grupo_jerarquia]" caption="nombre_grupo_jerarquia" attribute="1" defaultMemberUniqueName="[IF].[nombre_grupo_jerarquia].[All]" allUniqueName="[IF].[nombre_grupo_jerarquia].[All]" dimensionUniqueName="[IF]" displayFolder="" count="0" memberValueDatatype="130" unbalanced="0"/>
    <cacheHierarchy uniqueName="[IF].[tipo_cuenta]" caption="tipo_cuenta" attribute="1" defaultMemberUniqueName="[IF].[tipo_cuenta].[All]" allUniqueName="[IF].[tipo_cuenta].[All]" dimensionUniqueName="[IF]" displayFolder="" count="0" memberValueDatatype="130" unbalanced="0"/>
    <cacheHierarchy uniqueName="[IF].[nombre_tipo_cuenta]" caption="nombre_tipo_cuenta" attribute="1" defaultMemberUniqueName="[IF].[nombre_tipo_cuenta].[All]" allUniqueName="[IF].[nombre_tipo_cuenta].[All]" dimensionUniqueName="[IF]" displayFolder="" count="0" memberValueDatatype="130" unbalanced="0"/>
    <cacheHierarchy uniqueName="[IF].[tipo_unidad]" caption="tipo_unidad" attribute="1" defaultMemberUniqueName="[IF].[tipo_unidad].[All]" allUniqueName="[IF].[tipo_unidad].[All]" dimensionUniqueName="[IF]" displayFolder="" count="0" memberValueDatatype="130" unbalanced="0"/>
    <cacheHierarchy uniqueName="[IF].[nombre_tipo_unidad]" caption="nombre_tipo_unidad" attribute="1" defaultMemberUniqueName="[IF].[nombre_tipo_unidad].[All]" allUniqueName="[IF].[nombre_tipo_unidad].[All]" dimensionUniqueName="[IF]" displayFolder="" count="0" memberValueDatatype="130" unbalanced="0"/>
    <cacheHierarchy uniqueName="[IF].[tipo_programa]" caption="tipo_programa" attribute="1" defaultMemberUniqueName="[IF].[tipo_programa].[All]" allUniqueName="[IF].[tipo_programa].[All]" dimensionUniqueName="[IF]" displayFolder="" count="0" memberValueDatatype="130" unbalanced="0"/>
    <cacheHierarchy uniqueName="[IF].[nombre_tipo_programa]" caption="nombre_tipo_programa" attribute="1" defaultMemberUniqueName="[IF].[nombre_tipo_programa].[All]" allUniqueName="[IF].[nombre_tipo_programa].[All]" dimensionUniqueName="[IF]" displayFolder="" count="0" memberValueDatatype="130" unbalanced="0"/>
    <cacheHierarchy uniqueName="[IF].[nombre_metodologia]" caption="nombre_metodologia" attribute="1" defaultMemberUniqueName="[IF].[nombre_metodologia].[All]" allUniqueName="[IF].[nombre_metodologia].[All]" dimensionUniqueName="[IF]" displayFolder="" count="0" memberValueDatatype="130" unbalanced="0"/>
    <cacheHierarchy uniqueName="[IF].[tipo_departamento]" caption="tipo_departamento" attribute="1" defaultMemberUniqueName="[IF].[tipo_departamento].[All]" allUniqueName="[IF].[tipo_departamento].[All]" dimensionUniqueName="[IF]" displayFolder="" count="0" memberValueDatatype="130" unbalanced="0"/>
    <cacheHierarchy uniqueName="[IF].[horizonte]" caption="horizonte" attribute="1" defaultMemberUniqueName="[IF].[horizonte].[All]" allUniqueName="[IF].[horizonte].[All]" dimensionUniqueName="[IF]" displayFolder="" count="0" memberValueDatatype="130" unbalanced="0"/>
    <cacheHierarchy uniqueName="[poblacion_postgrado].[ano]" caption="ano" attribute="1" defaultMemberUniqueName="[poblacion_postgrado].[ano].[All]" allUniqueName="[poblacion_postgrado].[ano].[All]" dimensionUniqueName="[poblacion_postgrado]" displayFolder="" count="0" memberValueDatatype="20" unbalanced="0"/>
    <cacheHierarchy uniqueName="[poblacion_postgrado].[periodo]" caption="periodo" attribute="1" defaultMemberUniqueName="[poblacion_postgrado].[periodo].[All]" allUniqueName="[poblacion_postgrado].[periodo].[All]" dimensionUniqueName="[poblacion_postgrado]" displayFolder="" count="0" memberValueDatatype="130" unbalanced="0"/>
    <cacheHierarchy uniqueName="[poblacion_postgrado].[semestre]" caption="semestre" attribute="1" defaultMemberUniqueName="[poblacion_postgrado].[semestre].[All]" allUniqueName="[poblacion_postgrado].[semestre].[All]" dimensionUniqueName="[poblacion_postgrado]" displayFolder="" count="0" memberValueDatatype="20" unbalanced="0"/>
    <cacheHierarchy uniqueName="[poblacion_postgrado].[fecha]" caption="fecha" attribute="1" defaultMemberUniqueName="[poblacion_postgrado].[fecha].[All]" allUniqueName="[poblacion_postgrado].[fecha].[All]" dimensionUniqueName="[poblacion_postgrado]" displayFolder="" count="0" memberValueDatatype="130" unbalanced="0"/>
    <cacheHierarchy uniqueName="[poblacion_postgrado].[departamento_padre]" caption="departamento_padre" attribute="1" defaultMemberUniqueName="[poblacion_postgrado].[departamento_padre].[All]" allUniqueName="[poblacion_postgrado].[departamento_padre].[All]" dimensionUniqueName="[poblacion_postgrado]" displayFolder="" count="0" memberValueDatatype="130" unbalanced="0"/>
    <cacheHierarchy uniqueName="[poblacion_postgrado].[nombre_departamento_padre]" caption="nombre_departamento_padre" attribute="1" defaultMemberUniqueName="[poblacion_postgrado].[nombre_departamento_padre].[All]" allUniqueName="[poblacion_postgrado].[nombre_departamento_padre].[All]" dimensionUniqueName="[poblacion_postgrado]" displayFolder="" count="0" memberValueDatatype="130" unbalanced="0"/>
    <cacheHierarchy uniqueName="[poblacion_postgrado].[departamento]" caption="departamento" attribute="1" defaultMemberUniqueName="[poblacion_postgrado].[departamento].[All]" allUniqueName="[poblacion_postgrado].[departamento].[All]" dimensionUniqueName="[poblacion_postgrado]" displayFolder="" count="0" memberValueDatatype="130" unbalanced="0"/>
    <cacheHierarchy uniqueName="[poblacion_postgrado].[nombre_departamento_hijo]" caption="nombre_departamento_hijo" attribute="1" defaultMemberUniqueName="[poblacion_postgrado].[nombre_departamento_hijo].[All]" allUniqueName="[poblacion_postgrado].[nombre_departamento_hijo].[All]" dimensionUniqueName="[poblacion_postgrado]" displayFolder="" count="0" memberValueDatatype="130" unbalanced="0"/>
    <cacheHierarchy uniqueName="[poblacion_postgrado].[tipo_programa]" caption="tipo_programa" attribute="1" defaultMemberUniqueName="[poblacion_postgrado].[tipo_programa].[All]" allUniqueName="[poblacion_postgrado].[tipo_programa].[All]" dimensionUniqueName="[poblacion_postgrado]" displayFolder="" count="0" memberValueDatatype="130" unbalanced="0"/>
    <cacheHierarchy uniqueName="[poblacion_postgrado].[nombre_tipo_programa]" caption="nombre_tipo_programa" attribute="1" defaultMemberUniqueName="[poblacion_postgrado].[nombre_tipo_programa].[All]" allUniqueName="[poblacion_postgrado].[nombre_tipo_programa].[All]" dimensionUniqueName="[poblacion_postgrado]" displayFolder="" count="0" memberValueDatatype="130" unbalanced="0"/>
    <cacheHierarchy uniqueName="[poblacion_postgrado].[nombre_metodologia]" caption="nombre_metodologia" attribute="1" defaultMemberUniqueName="[poblacion_postgrado].[nombre_metodologia].[All]" allUniqueName="[poblacion_postgrado].[nombre_metodologia].[All]" dimensionUniqueName="[poblacion_postgrado]" displayFolder="" count="0" memberValueDatatype="130" unbalanced="0"/>
    <cacheHierarchy uniqueName="[poblacion_postgrado].[ppto_nuevos]" caption="ppto_nuevos" attribute="1" defaultMemberUniqueName="[poblacion_postgrado].[ppto_nuevos].[All]" allUniqueName="[poblacion_postgrado].[ppto_nuevos].[All]" dimensionUniqueName="[poblacion_postgrado]" displayFolder="" count="0" memberValueDatatype="20" unbalanced="0"/>
    <cacheHierarchy uniqueName="[poblacion_postgrado].[ppto_antiguos]" caption="ppto_antiguos" attribute="1" defaultMemberUniqueName="[poblacion_postgrado].[ppto_antiguos].[All]" allUniqueName="[poblacion_postgrado].[ppto_antiguos].[All]" dimensionUniqueName="[poblacion_postgrado]" displayFolder="" count="0" memberValueDatatype="20" unbalanced="0"/>
    <cacheHierarchy uniqueName="[poblacion_postgrado].[real_nuevos]" caption="real_nuevos" attribute="1" defaultMemberUniqueName="[poblacion_postgrado].[real_nuevos].[All]" allUniqueName="[poblacion_postgrado].[real_nuevos].[All]" dimensionUniqueName="[poblacion_postgrado]" displayFolder="" count="0" memberValueDatatype="20" unbalanced="0"/>
    <cacheHierarchy uniqueName="[poblacion_postgrado].[real_antiguos]" caption="real_antiguos" attribute="1" defaultMemberUniqueName="[poblacion_postgrado].[real_antiguos].[All]" allUniqueName="[poblacion_postgrado].[real_antiguos].[All]" dimensionUniqueName="[poblacion_postgrado]" displayFolder="" count="0" memberValueDatatype="20" unbalanced="0"/>
    <cacheHierarchy uniqueName="[poblacion_postgrado].[ppto]" caption="ppto" attribute="1" defaultMemberUniqueName="[poblacion_postgrado].[ppto].[All]" allUniqueName="[poblacion_postgrado].[ppto].[All]" dimensionUniqueName="[poblacion_postgrado]" displayFolder="" count="0" memberValueDatatype="20" unbalanced="0"/>
    <cacheHierarchy uniqueName="[poblacion_postgrado].[real]" caption="real" attribute="1" defaultMemberUniqueName="[poblacion_postgrado].[real].[All]" allUniqueName="[poblacion_postgrado].[real].[All]" dimensionUniqueName="[poblacion_postgrado]" displayFolder="" count="0" memberValueDatatype="20" unbalanced="0"/>
    <cacheHierarchy uniqueName="[poblacion_postgrado].[diferencia]" caption="diferencia" attribute="1" defaultMemberUniqueName="[poblacion_postgrado].[diferencia].[All]" allUniqueName="[poblacion_postgrado].[diferencia].[All]" dimensionUniqueName="[poblacion_postgrado]" displayFolder="" count="0" memberValueDatatype="20" unbalanced="0"/>
    <cacheHierarchy uniqueName="[poblacion_pregrado].[ano]" caption="ano" attribute="1" defaultMemberUniqueName="[poblacion_pregrado].[ano].[All]" allUniqueName="[poblacion_pregrado].[ano].[All]" dimensionUniqueName="[poblacion_pregrado]" displayFolder="" count="2" memberValueDatatype="20" unbalanced="0">
      <fieldsUsage count="2">
        <fieldUsage x="-1"/>
        <fieldUsage x="1"/>
      </fieldsUsage>
    </cacheHierarchy>
    <cacheHierarchy uniqueName="[poblacion_pregrado].[periodo]" caption="periodo" attribute="1" defaultMemberUniqueName="[poblacion_pregrado].[periodo].[All]" allUniqueName="[poblacion_pregrado].[periodo].[All]" dimensionUniqueName="[poblacion_pregrado]" displayFolder="" count="0" memberValueDatatype="130" unbalanced="0"/>
    <cacheHierarchy uniqueName="[poblacion_pregrado].[semestre]" caption="semestre" attribute="1" defaultMemberUniqueName="[poblacion_pregrado].[semestre].[All]" allUniqueName="[poblacion_pregrado].[semestre].[All]" dimensionUniqueName="[poblacion_pregrado]" displayFolder="" count="2" memberValueDatatype="20" unbalanced="0">
      <fieldsUsage count="2">
        <fieldUsage x="-1"/>
        <fieldUsage x="2"/>
      </fieldsUsage>
    </cacheHierarchy>
    <cacheHierarchy uniqueName="[poblacion_pregrado].[departamento_padre]" caption="departamento_padre" attribute="1" defaultMemberUniqueName="[poblacion_pregrado].[departamento_padre].[All]" allUniqueName="[poblacion_pregrado].[departamento_padre].[All]" dimensionUniqueName="[poblacion_pregrado]" displayFolder="" count="0" memberValueDatatype="130" unbalanced="0"/>
    <cacheHierarchy uniqueName="[poblacion_pregrado].[nombre_departamento_padre]" caption="nombre_departamento_padre" attribute="1" defaultMemberUniqueName="[poblacion_pregrado].[nombre_departamento_padre].[All]" allUniqueName="[poblacion_pregrado].[nombre_departamento_padre].[All]" dimensionUniqueName="[poblacion_pregrado]" displayFolder="" count="2" memberValueDatatype="130" unbalanced="0">
      <fieldsUsage count="2">
        <fieldUsage x="-1"/>
        <fieldUsage x="5"/>
      </fieldsUsage>
    </cacheHierarchy>
    <cacheHierarchy uniqueName="[poblacion_pregrado].[departamento]" caption="departamento" attribute="1" defaultMemberUniqueName="[poblacion_pregrado].[departamento].[All]" allUniqueName="[poblacion_pregrado].[departamento].[All]" dimensionUniqueName="[poblacion_pregrado]" displayFolder="" count="0" memberValueDatatype="130" unbalanced="0"/>
    <cacheHierarchy uniqueName="[poblacion_pregrado].[nombre_departamento_hijo]" caption="nombre_departamento_hijo" attribute="1" defaultMemberUniqueName="[poblacion_pregrado].[nombre_departamento_hijo].[All]" allUniqueName="[poblacion_pregrado].[nombre_departamento_hijo].[All]" dimensionUniqueName="[poblacion_pregrado]" displayFolder="" count="2" memberValueDatatype="130" unbalanced="0">
      <fieldsUsage count="2">
        <fieldUsage x="-1"/>
        <fieldUsage x="0"/>
      </fieldsUsage>
    </cacheHierarchy>
    <cacheHierarchy uniqueName="[poblacion_pregrado].[nombre_tipo_estudiante]" caption="nombre_tipo_estudiante" attribute="1" defaultMemberUniqueName="[poblacion_pregrado].[nombre_tipo_estudiante].[All]" allUniqueName="[poblacion_pregrado].[nombre_tipo_estudiante].[All]" dimensionUniqueName="[poblacion_pregrado]" displayFolder="" count="0" memberValueDatatype="130" unbalanced="0"/>
    <cacheHierarchy uniqueName="[poblacion_pregrado].[ppto_nuevos]" caption="ppto_nuevos" attribute="1" defaultMemberUniqueName="[poblacion_pregrado].[ppto_nuevos].[All]" allUniqueName="[poblacion_pregrado].[ppto_nuevos].[All]" dimensionUniqueName="[poblacion_pregrado]" displayFolder="" count="0" memberValueDatatype="5" unbalanced="0"/>
    <cacheHierarchy uniqueName="[poblacion_pregrado].[ppto_antiguos]" caption="ppto_antiguos" attribute="1" defaultMemberUniqueName="[poblacion_pregrado].[ppto_antiguos].[All]" allUniqueName="[poblacion_pregrado].[ppto_antiguos].[All]" dimensionUniqueName="[poblacion_pregrado]" displayFolder="" count="0" memberValueDatatype="5" unbalanced="0"/>
    <cacheHierarchy uniqueName="[poblacion_pregrado].[real_nuevos]" caption="real_nuevos" attribute="1" defaultMemberUniqueName="[poblacion_pregrado].[real_nuevos].[All]" allUniqueName="[poblacion_pregrado].[real_nuevos].[All]" dimensionUniqueName="[poblacion_pregrado]" displayFolder="" count="0" memberValueDatatype="5" unbalanced="0"/>
    <cacheHierarchy uniqueName="[poblacion_pregrado].[real_antiguos]" caption="real_antiguos" attribute="1" defaultMemberUniqueName="[poblacion_pregrado].[real_antiguos].[All]" allUniqueName="[poblacion_pregrado].[real_antiguos].[All]" dimensionUniqueName="[poblacion_pregrado]" displayFolder="" count="0" memberValueDatatype="5" unbalanced="0"/>
    <cacheHierarchy uniqueName="[poblacion_pregrado].[ppto]" caption="ppto" attribute="1" defaultMemberUniqueName="[poblacion_pregrado].[ppto].[All]" allUniqueName="[poblacion_pregrado].[ppto].[All]" dimensionUniqueName="[poblacion_pregrado]" displayFolder="" count="0" memberValueDatatype="5" unbalanced="0"/>
    <cacheHierarchy uniqueName="[poblacion_pregrado].[real]" caption="real" attribute="1" defaultMemberUniqueName="[poblacion_pregrado].[real].[All]" allUniqueName="[poblacion_pregrado].[real].[All]" dimensionUniqueName="[poblacion_pregrado]" displayFolder="" count="0" memberValueDatatype="5" unbalanced="0"/>
    <cacheHierarchy uniqueName="[poblacion_pregrado].[diferencia]" caption="diferencia" attribute="1" defaultMemberUniqueName="[poblacion_pregrado].[diferencia].[All]" allUniqueName="[poblacion_pregrado].[diferencia].[All]" dimensionUniqueName="[poblacion_pregrado]" displayFolder="" count="0" memberValueDatatype="5" unbalanced="0"/>
    <cacheHierarchy uniqueName="[Measures].[__XL_Count A2020]" caption="__XL_Count A2020" measure="1" displayFolder="" measureGroup="A2020" count="0" hidden="1"/>
    <cacheHierarchy uniqueName="[Measures].[__XL_Count IF]" caption="__XL_Count IF" measure="1" displayFolder="" measureGroup="IF" count="0" hidden="1"/>
    <cacheHierarchy uniqueName="[Measures].[__XL_Count poblacion_pregrado]" caption="__XL_Count poblacion_pregrado" measure="1" displayFolder="" measureGroup="poblacion_pregrado" count="0" hidden="1"/>
    <cacheHierarchy uniqueName="[Measures].[__XL_Count poblacion_postgrado]" caption="__XL_Count poblacion_postgrado" measure="1" displayFolder="" measureGroup="poblacion_postgrado" count="0" hidden="1"/>
    <cacheHierarchy uniqueName="[Measures].[__No measures defined]" caption="__No measures defined" measure="1" displayFolder="" count="0" hidden="1"/>
    <cacheHierarchy uniqueName="[Measures].[Suma de valor]" caption="Suma de valor" measure="1" displayFolder="" measureGroup="IF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real]" caption="Suma de real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al_nuevos]" caption="Suma de real_nuevos" measure="1" displayFolder="" measureGroup="poblacion_pregrado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real_antiguos]" caption="Suma de real_antigu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real 2]" caption="Suma de real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eal_nuevos 2]" caption="Suma de real_nuev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real_antiguos 2]" caption="Suma de real_antigu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</cacheHierarchies>
  <kpis count="0"/>
  <dimensions count="5">
    <dimension name="A2020" uniqueName="[A2020]" caption="A2020"/>
    <dimension name="IF" uniqueName="[IF]" caption="IF"/>
    <dimension measure="1" name="Measures" uniqueName="[Measures]" caption="Measures"/>
    <dimension name="poblacion_postgrado" uniqueName="[poblacion_postgrado]" caption="poblacion_postgrado"/>
    <dimension name="poblacion_pregrado" uniqueName="[poblacion_pregrado]" caption="poblacion_pregrado"/>
  </dimensions>
  <measureGroups count="4">
    <measureGroup name="A2020" caption="A2020"/>
    <measureGroup name="IF" caption="IF"/>
    <measureGroup name="poblacion_postgrado" caption="poblacion_postgrado"/>
    <measureGroup name="poblacion_pregrado" caption="poblacion_pregrado"/>
  </measureGroups>
  <maps count="4">
    <map measureGroup="0" dimension="0"/>
    <map measureGroup="1" dimension="1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los Alberto Ceballos Gutierrez" refreshedDate="44383.602630555557" createdVersion="5" refreshedVersion="7" minRefreshableVersion="3" recordCount="0" supportSubquery="1" supportAdvancedDrill="1" xr:uid="{F81B7A9A-7250-4024-800C-5AB78B51983E}">
  <cacheSource type="external" connectionId="8"/>
  <cacheFields count="7">
    <cacheField name="[IF].[departamento_jerarquia1].[departamento_jerarquia1]" caption="departamento_jerarquia1" numFmtId="0" hierarchy="37" level="1">
      <sharedItems containsSemiMixedTypes="0" containsNonDate="0" containsString="0"/>
    </cacheField>
    <cacheField name="[IF].[departamento_jerarquia2].[departamento_jerarquia2]" caption="departamento_jerarquia2" numFmtId="0" hierarchy="38" level="1">
      <sharedItems count="6">
        <s v="27"/>
        <s v="33"/>
        <s v="48"/>
        <s v="534"/>
        <s v="582"/>
        <s v="922"/>
      </sharedItems>
    </cacheField>
    <cacheField name="[IF].[grupo_analisis].[grupo_analisis]" caption="grupo_analisis" numFmtId="0" hierarchy="32" level="1">
      <sharedItems count="22">
        <s v="EDUCACION CONTINUA"/>
        <s v="GASTOS DE PERSONAL"/>
        <s v="GASTOS DE VIAJE"/>
        <s v="GASTOS GENERALES"/>
        <s v="GASTOS INTERNOS"/>
        <s v="IMPUESTOS"/>
        <s v="INGRESOS INTERNOS"/>
        <s v="INGRESOS NO OPER."/>
        <s v="SERVICIOS ESTUDIANTILES"/>
        <s v="HONORARIOS Y SERVICIOS"/>
        <s v="OTROS DERECHOS"/>
        <s v="SERVICIOS ACADEMIA"/>
        <s v="BECAS Y DESCUENTOS"/>
        <s v="GASTOS FINANCIEROS"/>
        <s v="INGRESOS FINANCIEROS"/>
        <s v="MANTENIMIENTO"/>
        <s v="POSTGRADO"/>
        <s v="CONSULTORIA"/>
        <s v="DEPRECIACION"/>
        <s v="DONACIONES"/>
        <s v="GASTOS NO OPER"/>
        <s v="OTROS INGRESOS"/>
      </sharedItems>
    </cacheField>
    <cacheField name="[IF].[mes].[mes]" caption="mes" numFmtId="0" hierarchy="28" level="1">
      <sharedItems containsSemiMixedTypes="0" containsString="0" containsNumber="1" containsInteger="1" minValue="1" maxValue="12" count="7">
        <n v="12"/>
        <n v="1"/>
        <n v="2"/>
        <n v="3"/>
        <n v="4"/>
        <n v="5"/>
        <n v="6"/>
      </sharedItems>
      <extLst>
        <ext xmlns:x15="http://schemas.microsoft.com/office/spreadsheetml/2010/11/main" uri="{4F2E5C28-24EA-4eb8-9CBF-B6C8F9C3D259}">
          <x15:cachedUniqueNames>
            <x15:cachedUniqueName index="0" name="[IF].[mes].&amp;[12]"/>
            <x15:cachedUniqueName index="1" name="[IF].[mes].&amp;[1]"/>
            <x15:cachedUniqueName index="2" name="[IF].[mes].&amp;[2]"/>
            <x15:cachedUniqueName index="3" name="[IF].[mes].&amp;[3]"/>
            <x15:cachedUniqueName index="4" name="[IF].[mes].&amp;[4]"/>
            <x15:cachedUniqueName index="5" name="[IF].[mes].&amp;[5]"/>
            <x15:cachedUniqueName index="6" name="[IF].[mes].&amp;[6]"/>
          </x15:cachedUniqueNames>
        </ext>
      </extLst>
    </cacheField>
    <cacheField name="[IF].[ano].[ano]" caption="ano" numFmtId="0" hierarchy="27" level="1">
      <sharedItems containsSemiMixedTypes="0" containsString="0" containsNumber="1" containsInteger="1" minValue="2018" maxValue="2021" count="4"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IF].[ano].&amp;[2018]"/>
            <x15:cachedUniqueName index="1" name="[IF].[ano].&amp;[2019]"/>
            <x15:cachedUniqueName index="2" name="[IF].[ano].&amp;[2020]"/>
            <x15:cachedUniqueName index="3" name="[IF].[ano].&amp;[2021]"/>
          </x15:cachedUniqueNames>
        </ext>
      </extLst>
    </cacheField>
    <cacheField name="[IF].[informacion].[informacion]" caption="informacion" numFmtId="0" hierarchy="34" level="1">
      <sharedItems count="2">
        <s v="EJECUCION"/>
        <s v="PRESUPUESTO"/>
      </sharedItems>
    </cacheField>
    <cacheField name="[Measures].[Suma de valor]" caption="Suma de valor" numFmtId="0" hierarchy="92" level="32767"/>
  </cacheFields>
  <cacheHierarchies count="99">
    <cacheHierarchy uniqueName="[A2020].[ano]" caption="ano" attribute="1" defaultMemberUniqueName="[A2020].[ano].[All]" allUniqueName="[A2020].[ano].[All]" dimensionUniqueName="[A2020]" displayFolder="" count="0" memberValueDatatype="20" unbalanced="0"/>
    <cacheHierarchy uniqueName="[A2020].[mes]" caption="mes" attribute="1" defaultMemberUniqueName="[A2020].[mes].[All]" allUniqueName="[A2020].[mes].[All]" dimensionUniqueName="[A2020]" displayFolder="" count="0" memberValueDatatype="20" unbalanced="0"/>
    <cacheHierarchy uniqueName="[A2020].[cuenta_ppto]" caption="cuenta_ppto" attribute="1" defaultMemberUniqueName="[A2020].[cuenta_ppto].[All]" allUniqueName="[A2020].[cuenta_ppto].[All]" dimensionUniqueName="[A2020]" displayFolder="" count="0" memberValueDatatype="130" unbalanced="0"/>
    <cacheHierarchy uniqueName="[A2020].[nombre_cuenta]" caption="nombre_cuenta" attribute="1" defaultMemberUniqueName="[A2020].[nombre_cuenta].[All]" allUniqueName="[A2020].[nombre_cuenta].[All]" dimensionUniqueName="[A2020]" displayFolder="" count="0" memberValueDatatype="130" unbalanced="0"/>
    <cacheHierarchy uniqueName="[A2020].[grupo_cuenta]" caption="grupo_cuenta" attribute="1" defaultMemberUniqueName="[A2020].[grupo_cuenta].[All]" allUniqueName="[A2020].[grupo_cuenta].[All]" dimensionUniqueName="[A2020]" displayFolder="" count="0" memberValueDatatype="130" unbalanced="0"/>
    <cacheHierarchy uniqueName="[A2020].[grupo_analisis]" caption="grupo_analisis" attribute="1" defaultMemberUniqueName="[A2020].[grupo_analisis].[All]" allUniqueName="[A2020].[grupo_analisis].[All]" dimensionUniqueName="[A2020]" displayFolder="" count="0" memberValueDatatype="130" unbalanced="0"/>
    <cacheHierarchy uniqueName="[A2020].[valor]" caption="valor" attribute="1" defaultMemberUniqueName="[A2020].[valor].[All]" allUniqueName="[A2020].[valor].[All]" dimensionUniqueName="[A2020]" displayFolder="" count="0" memberValueDatatype="5" unbalanced="0"/>
    <cacheHierarchy uniqueName="[A2020].[informacion]" caption="informacion" attribute="1" defaultMemberUniqueName="[A2020].[informacion].[All]" allUniqueName="[A2020].[informacion].[All]" dimensionUniqueName="[A2020]" displayFolder="" count="0" memberValueDatatype="130" unbalanced="0"/>
    <cacheHierarchy uniqueName="[A2020].[departamento_padre]" caption="departamento_padre" attribute="1" defaultMemberUniqueName="[A2020].[departamento_padre].[All]" allUniqueName="[A2020].[departamento_padre].[All]" dimensionUniqueName="[A2020]" displayFolder="" count="0" memberValueDatatype="130" unbalanced="0"/>
    <cacheHierarchy uniqueName="[A2020].[departamento_hijo]" caption="departamento_hijo" attribute="1" defaultMemberUniqueName="[A2020].[departamento_hijo].[All]" allUniqueName="[A2020].[departamento_hijo].[All]" dimensionUniqueName="[A2020]" displayFolder="" count="0" memberValueDatatype="130" unbalanced="0"/>
    <cacheHierarchy uniqueName="[A2020].[departamento_jerarquia1]" caption="departamento_jerarquia1" attribute="1" defaultMemberUniqueName="[A2020].[departamento_jerarquia1].[All]" allUniqueName="[A2020].[departamento_jerarquia1].[All]" dimensionUniqueName="[A2020]" displayFolder="" count="0" memberValueDatatype="130" unbalanced="0"/>
    <cacheHierarchy uniqueName="[A2020].[departamento_jerarquia2]" caption="departamento_jerarquia2" attribute="1" defaultMemberUniqueName="[A2020].[departamento_jerarquia2].[All]" allUniqueName="[A2020].[departamento_jerarquia2].[All]" dimensionUniqueName="[A2020]" displayFolder="" count="0" memberValueDatatype="130" unbalanced="0"/>
    <cacheHierarchy uniqueName="[A2020].[nombre_departamento_padre]" caption="nombre_departamento_padre" attribute="1" defaultMemberUniqueName="[A2020].[nombre_departamento_padre].[All]" allUniqueName="[A2020].[nombre_departamento_padre].[All]" dimensionUniqueName="[A2020]" displayFolder="" count="0" memberValueDatatype="130" unbalanced="0"/>
    <cacheHierarchy uniqueName="[A2020].[numero_nivel]" caption="numero_nivel" attribute="1" defaultMemberUniqueName="[A2020].[numero_nivel].[All]" allUniqueName="[A2020].[numero_nivel].[All]" dimensionUniqueName="[A2020]" displayFolder="" count="0" memberValueDatatype="20" unbalanced="0"/>
    <cacheHierarchy uniqueName="[A2020].[nombre_departamento_hijo]" caption="nombre_departamento_hijo" attribute="1" defaultMemberUniqueName="[A2020].[nombre_departamento_hijo].[All]" allUniqueName="[A2020].[nombre_departamento_hijo].[All]" dimensionUniqueName="[A2020]" displayFolder="" count="0" memberValueDatatype="130" unbalanced="0"/>
    <cacheHierarchy uniqueName="[A2020].[proyecto]" caption="proyecto" attribute="1" defaultMemberUniqueName="[A2020].[proyecto].[All]" allUniqueName="[A2020].[proyecto].[All]" dimensionUniqueName="[A2020]" displayFolder="" count="0" memberValueDatatype="130" unbalanced="0"/>
    <cacheHierarchy uniqueName="[A2020].[grupo_jerarquia]" caption="grupo_jerarquia" attribute="1" defaultMemberUniqueName="[A2020].[grupo_jerarquia].[All]" allUniqueName="[A2020].[grupo_jerarquia].[All]" dimensionUniqueName="[A2020]" displayFolder="" count="0" memberValueDatatype="130" unbalanced="0"/>
    <cacheHierarchy uniqueName="[A2020].[nombre_grupo_jerarquia]" caption="nombre_grupo_jerarquia" attribute="1" defaultMemberUniqueName="[A2020].[nombre_grupo_jerarquia].[All]" allUniqueName="[A2020].[nombre_grupo_jerarquia].[All]" dimensionUniqueName="[A2020]" displayFolder="" count="0" memberValueDatatype="130" unbalanced="0"/>
    <cacheHierarchy uniqueName="[A2020].[tipo_cuenta]" caption="tipo_cuenta" attribute="1" defaultMemberUniqueName="[A2020].[tipo_cuenta].[All]" allUniqueName="[A2020].[tipo_cuenta].[All]" dimensionUniqueName="[A2020]" displayFolder="" count="0" memberValueDatatype="130" unbalanced="0"/>
    <cacheHierarchy uniqueName="[A2020].[nombre_tipo_cuenta]" caption="nombre_tipo_cuenta" attribute="1" defaultMemberUniqueName="[A2020].[nombre_tipo_cuenta].[All]" allUniqueName="[A2020].[nombre_tipo_cuenta].[All]" dimensionUniqueName="[A2020]" displayFolder="" count="0" memberValueDatatype="130" unbalanced="0"/>
    <cacheHierarchy uniqueName="[A2020].[tipo_unidad]" caption="tipo_unidad" attribute="1" defaultMemberUniqueName="[A2020].[tipo_unidad].[All]" allUniqueName="[A2020].[tipo_unidad].[All]" dimensionUniqueName="[A2020]" displayFolder="" count="0" memberValueDatatype="130" unbalanced="0"/>
    <cacheHierarchy uniqueName="[A2020].[nombre_tipo_unidad]" caption="nombre_tipo_unidad" attribute="1" defaultMemberUniqueName="[A2020].[nombre_tipo_unidad].[All]" allUniqueName="[A2020].[nombre_tipo_unidad].[All]" dimensionUniqueName="[A2020]" displayFolder="" count="0" memberValueDatatype="130" unbalanced="0"/>
    <cacheHierarchy uniqueName="[A2020].[tipo_programa]" caption="tipo_programa" attribute="1" defaultMemberUniqueName="[A2020].[tipo_programa].[All]" allUniqueName="[A2020].[tipo_programa].[All]" dimensionUniqueName="[A2020]" displayFolder="" count="0" memberValueDatatype="130" unbalanced="0"/>
    <cacheHierarchy uniqueName="[A2020].[nombre_tipo_programa]" caption="nombre_tipo_programa" attribute="1" defaultMemberUniqueName="[A2020].[nombre_tipo_programa].[All]" allUniqueName="[A2020].[nombre_tipo_programa].[All]" dimensionUniqueName="[A2020]" displayFolder="" count="0" memberValueDatatype="130" unbalanced="0"/>
    <cacheHierarchy uniqueName="[A2020].[nombre_metodologia]" caption="nombre_metodologia" attribute="1" defaultMemberUniqueName="[A2020].[nombre_metodologia].[All]" allUniqueName="[A2020].[nombre_metodologia].[All]" dimensionUniqueName="[A2020]" displayFolder="" count="0" memberValueDatatype="130" unbalanced="0"/>
    <cacheHierarchy uniqueName="[A2020].[tipo_departamento]" caption="tipo_departamento" attribute="1" defaultMemberUniqueName="[A2020].[tipo_departamento].[All]" allUniqueName="[A2020].[tipo_departamento].[All]" dimensionUniqueName="[A2020]" displayFolder="" count="0" memberValueDatatype="130" unbalanced="0"/>
    <cacheHierarchy uniqueName="[A2020].[horizonte]" caption="horizonte" attribute="1" defaultMemberUniqueName="[A2020].[horizonte].[All]" allUniqueName="[A2020].[horizonte].[All]" dimensionUniqueName="[A2020]" displayFolder="" count="0" memberValueDatatype="130" unbalanced="0"/>
    <cacheHierarchy uniqueName="[IF].[ano]" caption="ano" attribute="1" defaultMemberUniqueName="[IF].[ano].[All]" allUniqueName="[IF].[ano].[All]" dimensionUniqueName="[IF]" displayFolder="" count="2" memberValueDatatype="20" unbalanced="0">
      <fieldsUsage count="2">
        <fieldUsage x="-1"/>
        <fieldUsage x="4"/>
      </fieldsUsage>
    </cacheHierarchy>
    <cacheHierarchy uniqueName="[IF].[mes]" caption="mes" attribute="1" defaultMemberUniqueName="[IF].[mes].[All]" allUniqueName="[IF].[mes].[All]" dimensionUniqueName="[IF]" displayFolder="" count="2" memberValueDatatype="20" unbalanced="0">
      <fieldsUsage count="2">
        <fieldUsage x="-1"/>
        <fieldUsage x="3"/>
      </fieldsUsage>
    </cacheHierarchy>
    <cacheHierarchy uniqueName="[IF].[cuenta_ppto]" caption="cuenta_ppto" attribute="1" defaultMemberUniqueName="[IF].[cuenta_ppto].[All]" allUniqueName="[IF].[cuenta_ppto].[All]" dimensionUniqueName="[IF]" displayFolder="" count="0" memberValueDatatype="130" unbalanced="0"/>
    <cacheHierarchy uniqueName="[IF].[nombre_cuenta]" caption="nombre_cuenta" attribute="1" defaultMemberUniqueName="[IF].[nombre_cuenta].[All]" allUniqueName="[IF].[nombre_cuenta].[All]" dimensionUniqueName="[IF]" displayFolder="" count="0" memberValueDatatype="130" unbalanced="0"/>
    <cacheHierarchy uniqueName="[IF].[grupo_cuenta]" caption="grupo_cuenta" attribute="1" defaultMemberUniqueName="[IF].[grupo_cuenta].[All]" allUniqueName="[IF].[grupo_cuenta].[All]" dimensionUniqueName="[IF]" displayFolder="" count="0" memberValueDatatype="130" unbalanced="0"/>
    <cacheHierarchy uniqueName="[IF].[grupo_analisis]" caption="grupo_analisis" attribute="1" defaultMemberUniqueName="[IF].[grupo_analisis].[All]" allUniqueName="[IF].[grupo_analisis].[All]" dimensionUniqueName="[IF]" displayFolder="" count="2" memberValueDatatype="130" unbalanced="0">
      <fieldsUsage count="2">
        <fieldUsage x="-1"/>
        <fieldUsage x="2"/>
      </fieldsUsage>
    </cacheHierarchy>
    <cacheHierarchy uniqueName="[IF].[valor]" caption="valor" attribute="1" defaultMemberUniqueName="[IF].[valor].[All]" allUniqueName="[IF].[valor].[All]" dimensionUniqueName="[IF]" displayFolder="" count="0" memberValueDatatype="5" unbalanced="0"/>
    <cacheHierarchy uniqueName="[IF].[informacion]" caption="informacion" attribute="1" defaultMemberUniqueName="[IF].[informacion].[All]" allUniqueName="[IF].[informacion].[All]" dimensionUniqueName="[IF]" displayFolder="" count="2" memberValueDatatype="130" unbalanced="0">
      <fieldsUsage count="2">
        <fieldUsage x="-1"/>
        <fieldUsage x="5"/>
      </fieldsUsage>
    </cacheHierarchy>
    <cacheHierarchy uniqueName="[IF].[departamento_padre]" caption="departamento_padre" attribute="1" defaultMemberUniqueName="[IF].[departamento_padre].[All]" allUniqueName="[IF].[departamento_padre].[All]" dimensionUniqueName="[IF]" displayFolder="" count="0" memberValueDatatype="130" unbalanced="0"/>
    <cacheHierarchy uniqueName="[IF].[departamento_hijo]" caption="departamento_hijo" attribute="1" defaultMemberUniqueName="[IF].[departamento_hijo].[All]" allUniqueName="[IF].[departamento_hijo].[All]" dimensionUniqueName="[IF]" displayFolder="" count="0" memberValueDatatype="130" unbalanced="0"/>
    <cacheHierarchy uniqueName="[IF].[departamento_jerarquia1]" caption="departamento_jerarquia1" attribute="1" defaultMemberUniqueName="[IF].[departamento_jerarquia1].[All]" allUniqueName="[IF].[departamento_jerarquia1].[All]" dimensionUniqueName="[IF]" displayFolder="" count="2" memberValueDatatype="130" unbalanced="0">
      <fieldsUsage count="2">
        <fieldUsage x="-1"/>
        <fieldUsage x="0"/>
      </fieldsUsage>
    </cacheHierarchy>
    <cacheHierarchy uniqueName="[IF].[departamento_jerarquia2]" caption="departamento_jerarquia2" attribute="1" defaultMemberUniqueName="[IF].[departamento_jerarquia2].[All]" allUniqueName="[IF].[departamento_jerarquia2].[All]" dimensionUniqueName="[IF]" displayFolder="" count="2" memberValueDatatype="130" unbalanced="0">
      <fieldsUsage count="2">
        <fieldUsage x="-1"/>
        <fieldUsage x="1"/>
      </fieldsUsage>
    </cacheHierarchy>
    <cacheHierarchy uniqueName="[IF].[nombre_departamento_padre]" caption="nombre_departamento_padre" attribute="1" defaultMemberUniqueName="[IF].[nombre_departamento_padre].[All]" allUniqueName="[IF].[nombre_departamento_padre].[All]" dimensionUniqueName="[IF]" displayFolder="" count="0" memberValueDatatype="130" unbalanced="0"/>
    <cacheHierarchy uniqueName="[IF].[numero_nivel]" caption="numero_nivel" attribute="1" defaultMemberUniqueName="[IF].[numero_nivel].[All]" allUniqueName="[IF].[numero_nivel].[All]" dimensionUniqueName="[IF]" displayFolder="" count="0" memberValueDatatype="20" unbalanced="0"/>
    <cacheHierarchy uniqueName="[IF].[nombre_departamento_hijo]" caption="nombre_departamento_hijo" attribute="1" defaultMemberUniqueName="[IF].[nombre_departamento_hijo].[All]" allUniqueName="[IF].[nombre_departamento_hijo].[All]" dimensionUniqueName="[IF]" displayFolder="" count="0" memberValueDatatype="130" unbalanced="0"/>
    <cacheHierarchy uniqueName="[IF].[proyecto]" caption="proyecto" attribute="1" defaultMemberUniqueName="[IF].[proyecto].[All]" allUniqueName="[IF].[proyecto].[All]" dimensionUniqueName="[IF]" displayFolder="" count="0" memberValueDatatype="130" unbalanced="0"/>
    <cacheHierarchy uniqueName="[IF].[grupo_jerarquia]" caption="grupo_jerarquia" attribute="1" defaultMemberUniqueName="[IF].[grupo_jerarquia].[All]" allUniqueName="[IF].[grupo_jerarquia].[All]" dimensionUniqueName="[IF]" displayFolder="" count="0" memberValueDatatype="130" unbalanced="0"/>
    <cacheHierarchy uniqueName="[IF].[nombre_grupo_jerarquia]" caption="nombre_grupo_jerarquia" attribute="1" defaultMemberUniqueName="[IF].[nombre_grupo_jerarquia].[All]" allUniqueName="[IF].[nombre_grupo_jerarquia].[All]" dimensionUniqueName="[IF]" displayFolder="" count="0" memberValueDatatype="130" unbalanced="0"/>
    <cacheHierarchy uniqueName="[IF].[tipo_cuenta]" caption="tipo_cuenta" attribute="1" defaultMemberUniqueName="[IF].[tipo_cuenta].[All]" allUniqueName="[IF].[tipo_cuenta].[All]" dimensionUniqueName="[IF]" displayFolder="" count="0" memberValueDatatype="130" unbalanced="0"/>
    <cacheHierarchy uniqueName="[IF].[nombre_tipo_cuenta]" caption="nombre_tipo_cuenta" attribute="1" defaultMemberUniqueName="[IF].[nombre_tipo_cuenta].[All]" allUniqueName="[IF].[nombre_tipo_cuenta].[All]" dimensionUniqueName="[IF]" displayFolder="" count="0" memberValueDatatype="130" unbalanced="0"/>
    <cacheHierarchy uniqueName="[IF].[tipo_unidad]" caption="tipo_unidad" attribute="1" defaultMemberUniqueName="[IF].[tipo_unidad].[All]" allUniqueName="[IF].[tipo_unidad].[All]" dimensionUniqueName="[IF]" displayFolder="" count="0" memberValueDatatype="130" unbalanced="0"/>
    <cacheHierarchy uniqueName="[IF].[nombre_tipo_unidad]" caption="nombre_tipo_unidad" attribute="1" defaultMemberUniqueName="[IF].[nombre_tipo_unidad].[All]" allUniqueName="[IF].[nombre_tipo_unidad].[All]" dimensionUniqueName="[IF]" displayFolder="" count="0" memberValueDatatype="130" unbalanced="0"/>
    <cacheHierarchy uniqueName="[IF].[tipo_programa]" caption="tipo_programa" attribute="1" defaultMemberUniqueName="[IF].[tipo_programa].[All]" allUniqueName="[IF].[tipo_programa].[All]" dimensionUniqueName="[IF]" displayFolder="" count="0" memberValueDatatype="130" unbalanced="0"/>
    <cacheHierarchy uniqueName="[IF].[nombre_tipo_programa]" caption="nombre_tipo_programa" attribute="1" defaultMemberUniqueName="[IF].[nombre_tipo_programa].[All]" allUniqueName="[IF].[nombre_tipo_programa].[All]" dimensionUniqueName="[IF]" displayFolder="" count="0" memberValueDatatype="130" unbalanced="0"/>
    <cacheHierarchy uniqueName="[IF].[nombre_metodologia]" caption="nombre_metodologia" attribute="1" defaultMemberUniqueName="[IF].[nombre_metodologia].[All]" allUniqueName="[IF].[nombre_metodologia].[All]" dimensionUniqueName="[IF]" displayFolder="" count="0" memberValueDatatype="130" unbalanced="0"/>
    <cacheHierarchy uniqueName="[IF].[tipo_departamento]" caption="tipo_departamento" attribute="1" defaultMemberUniqueName="[IF].[tipo_departamento].[All]" allUniqueName="[IF].[tipo_departamento].[All]" dimensionUniqueName="[IF]" displayFolder="" count="0" memberValueDatatype="130" unbalanced="0"/>
    <cacheHierarchy uniqueName="[IF].[horizonte]" caption="horizonte" attribute="1" defaultMemberUniqueName="[IF].[horizonte].[All]" allUniqueName="[IF].[horizonte].[All]" dimensionUniqueName="[IF]" displayFolder="" count="0" memberValueDatatype="130" unbalanced="0"/>
    <cacheHierarchy uniqueName="[poblacion_postgrado].[ano]" caption="ano" attribute="1" defaultMemberUniqueName="[poblacion_postgrado].[ano].[All]" allUniqueName="[poblacion_postgrado].[ano].[All]" dimensionUniqueName="[poblacion_postgrado]" displayFolder="" count="0" memberValueDatatype="20" unbalanced="0"/>
    <cacheHierarchy uniqueName="[poblacion_postgrado].[periodo]" caption="periodo" attribute="1" defaultMemberUniqueName="[poblacion_postgrado].[periodo].[All]" allUniqueName="[poblacion_postgrado].[periodo].[All]" dimensionUniqueName="[poblacion_postgrado]" displayFolder="" count="0" memberValueDatatype="130" unbalanced="0"/>
    <cacheHierarchy uniqueName="[poblacion_postgrado].[semestre]" caption="semestre" attribute="1" defaultMemberUniqueName="[poblacion_postgrado].[semestre].[All]" allUniqueName="[poblacion_postgrado].[semestre].[All]" dimensionUniqueName="[poblacion_postgrado]" displayFolder="" count="0" memberValueDatatype="20" unbalanced="0"/>
    <cacheHierarchy uniqueName="[poblacion_postgrado].[fecha]" caption="fecha" attribute="1" defaultMemberUniqueName="[poblacion_postgrado].[fecha].[All]" allUniqueName="[poblacion_postgrado].[fecha].[All]" dimensionUniqueName="[poblacion_postgrado]" displayFolder="" count="0" memberValueDatatype="130" unbalanced="0"/>
    <cacheHierarchy uniqueName="[poblacion_postgrado].[departamento_padre]" caption="departamento_padre" attribute="1" defaultMemberUniqueName="[poblacion_postgrado].[departamento_padre].[All]" allUniqueName="[poblacion_postgrado].[departamento_padre].[All]" dimensionUniqueName="[poblacion_postgrado]" displayFolder="" count="0" memberValueDatatype="130" unbalanced="0"/>
    <cacheHierarchy uniqueName="[poblacion_postgrado].[nombre_departamento_padre]" caption="nombre_departamento_padre" attribute="1" defaultMemberUniqueName="[poblacion_postgrado].[nombre_departamento_padre].[All]" allUniqueName="[poblacion_postgrado].[nombre_departamento_padre].[All]" dimensionUniqueName="[poblacion_postgrado]" displayFolder="" count="0" memberValueDatatype="130" unbalanced="0"/>
    <cacheHierarchy uniqueName="[poblacion_postgrado].[departamento]" caption="departamento" attribute="1" defaultMemberUniqueName="[poblacion_postgrado].[departamento].[All]" allUniqueName="[poblacion_postgrado].[departamento].[All]" dimensionUniqueName="[poblacion_postgrado]" displayFolder="" count="0" memberValueDatatype="130" unbalanced="0"/>
    <cacheHierarchy uniqueName="[poblacion_postgrado].[nombre_departamento_hijo]" caption="nombre_departamento_hijo" attribute="1" defaultMemberUniqueName="[poblacion_postgrado].[nombre_departamento_hijo].[All]" allUniqueName="[poblacion_postgrado].[nombre_departamento_hijo].[All]" dimensionUniqueName="[poblacion_postgrado]" displayFolder="" count="0" memberValueDatatype="130" unbalanced="0"/>
    <cacheHierarchy uniqueName="[poblacion_postgrado].[tipo_programa]" caption="tipo_programa" attribute="1" defaultMemberUniqueName="[poblacion_postgrado].[tipo_programa].[All]" allUniqueName="[poblacion_postgrado].[tipo_programa].[All]" dimensionUniqueName="[poblacion_postgrado]" displayFolder="" count="0" memberValueDatatype="130" unbalanced="0"/>
    <cacheHierarchy uniqueName="[poblacion_postgrado].[nombre_tipo_programa]" caption="nombre_tipo_programa" attribute="1" defaultMemberUniqueName="[poblacion_postgrado].[nombre_tipo_programa].[All]" allUniqueName="[poblacion_postgrado].[nombre_tipo_programa].[All]" dimensionUniqueName="[poblacion_postgrado]" displayFolder="" count="0" memberValueDatatype="130" unbalanced="0"/>
    <cacheHierarchy uniqueName="[poblacion_postgrado].[nombre_metodologia]" caption="nombre_metodologia" attribute="1" defaultMemberUniqueName="[poblacion_postgrado].[nombre_metodologia].[All]" allUniqueName="[poblacion_postgrado].[nombre_metodologia].[All]" dimensionUniqueName="[poblacion_postgrado]" displayFolder="" count="0" memberValueDatatype="130" unbalanced="0"/>
    <cacheHierarchy uniqueName="[poblacion_postgrado].[ppto_nuevos]" caption="ppto_nuevos" attribute="1" defaultMemberUniqueName="[poblacion_postgrado].[ppto_nuevos].[All]" allUniqueName="[poblacion_postgrado].[ppto_nuevos].[All]" dimensionUniqueName="[poblacion_postgrado]" displayFolder="" count="0" memberValueDatatype="20" unbalanced="0"/>
    <cacheHierarchy uniqueName="[poblacion_postgrado].[ppto_antiguos]" caption="ppto_antiguos" attribute="1" defaultMemberUniqueName="[poblacion_postgrado].[ppto_antiguos].[All]" allUniqueName="[poblacion_postgrado].[ppto_antiguos].[All]" dimensionUniqueName="[poblacion_postgrado]" displayFolder="" count="0" memberValueDatatype="20" unbalanced="0"/>
    <cacheHierarchy uniqueName="[poblacion_postgrado].[real_nuevos]" caption="real_nuevos" attribute="1" defaultMemberUniqueName="[poblacion_postgrado].[real_nuevos].[All]" allUniqueName="[poblacion_postgrado].[real_nuevos].[All]" dimensionUniqueName="[poblacion_postgrado]" displayFolder="" count="0" memberValueDatatype="20" unbalanced="0"/>
    <cacheHierarchy uniqueName="[poblacion_postgrado].[real_antiguos]" caption="real_antiguos" attribute="1" defaultMemberUniqueName="[poblacion_postgrado].[real_antiguos].[All]" allUniqueName="[poblacion_postgrado].[real_antiguos].[All]" dimensionUniqueName="[poblacion_postgrado]" displayFolder="" count="0" memberValueDatatype="20" unbalanced="0"/>
    <cacheHierarchy uniqueName="[poblacion_postgrado].[ppto]" caption="ppto" attribute="1" defaultMemberUniqueName="[poblacion_postgrado].[ppto].[All]" allUniqueName="[poblacion_postgrado].[ppto].[All]" dimensionUniqueName="[poblacion_postgrado]" displayFolder="" count="0" memberValueDatatype="20" unbalanced="0"/>
    <cacheHierarchy uniqueName="[poblacion_postgrado].[real]" caption="real" attribute="1" defaultMemberUniqueName="[poblacion_postgrado].[real].[All]" allUniqueName="[poblacion_postgrado].[real].[All]" dimensionUniqueName="[poblacion_postgrado]" displayFolder="" count="0" memberValueDatatype="20" unbalanced="0"/>
    <cacheHierarchy uniqueName="[poblacion_postgrado].[diferencia]" caption="diferencia" attribute="1" defaultMemberUniqueName="[poblacion_postgrado].[diferencia].[All]" allUniqueName="[poblacion_postgrado].[diferencia].[All]" dimensionUniqueName="[poblacion_postgrado]" displayFolder="" count="0" memberValueDatatype="20" unbalanced="0"/>
    <cacheHierarchy uniqueName="[poblacion_pregrado].[ano]" caption="ano" attribute="1" defaultMemberUniqueName="[poblacion_pregrado].[ano].[All]" allUniqueName="[poblacion_pregrado].[ano].[All]" dimensionUniqueName="[poblacion_pregrado]" displayFolder="" count="0" memberValueDatatype="20" unbalanced="0"/>
    <cacheHierarchy uniqueName="[poblacion_pregrado].[periodo]" caption="periodo" attribute="1" defaultMemberUniqueName="[poblacion_pregrado].[periodo].[All]" allUniqueName="[poblacion_pregrado].[periodo].[All]" dimensionUniqueName="[poblacion_pregrado]" displayFolder="" count="0" memberValueDatatype="130" unbalanced="0"/>
    <cacheHierarchy uniqueName="[poblacion_pregrado].[semestre]" caption="semestre" attribute="1" defaultMemberUniqueName="[poblacion_pregrado].[semestre].[All]" allUniqueName="[poblacion_pregrado].[semestre].[All]" dimensionUniqueName="[poblacion_pregrado]" displayFolder="" count="0" memberValueDatatype="20" unbalanced="0"/>
    <cacheHierarchy uniqueName="[poblacion_pregrado].[departamento_padre]" caption="departamento_padre" attribute="1" defaultMemberUniqueName="[poblacion_pregrado].[departamento_padre].[All]" allUniqueName="[poblacion_pregrado].[departamento_padre].[All]" dimensionUniqueName="[poblacion_pregrado]" displayFolder="" count="0" memberValueDatatype="130" unbalanced="0"/>
    <cacheHierarchy uniqueName="[poblacion_pregrado].[nombre_departamento_padre]" caption="nombre_departamento_padre" attribute="1" defaultMemberUniqueName="[poblacion_pregrado].[nombre_departamento_padre].[All]" allUniqueName="[poblacion_pregrado].[nombre_departamento_padre].[All]" dimensionUniqueName="[poblacion_pregrado]" displayFolder="" count="0" memberValueDatatype="130" unbalanced="0"/>
    <cacheHierarchy uniqueName="[poblacion_pregrado].[departamento]" caption="departamento" attribute="1" defaultMemberUniqueName="[poblacion_pregrado].[departamento].[All]" allUniqueName="[poblacion_pregrado].[departamento].[All]" dimensionUniqueName="[poblacion_pregrado]" displayFolder="" count="0" memberValueDatatype="130" unbalanced="0"/>
    <cacheHierarchy uniqueName="[poblacion_pregrado].[nombre_departamento_hijo]" caption="nombre_departamento_hijo" attribute="1" defaultMemberUniqueName="[poblacion_pregrado].[nombre_departamento_hijo].[All]" allUniqueName="[poblacion_pregrado].[nombre_departamento_hijo].[All]" dimensionUniqueName="[poblacion_pregrado]" displayFolder="" count="0" memberValueDatatype="130" unbalanced="0"/>
    <cacheHierarchy uniqueName="[poblacion_pregrado].[nombre_tipo_estudiante]" caption="nombre_tipo_estudiante" attribute="1" defaultMemberUniqueName="[poblacion_pregrado].[nombre_tipo_estudiante].[All]" allUniqueName="[poblacion_pregrado].[nombre_tipo_estudiante].[All]" dimensionUniqueName="[poblacion_pregrado]" displayFolder="" count="0" memberValueDatatype="130" unbalanced="0"/>
    <cacheHierarchy uniqueName="[poblacion_pregrado].[ppto_nuevos]" caption="ppto_nuevos" attribute="1" defaultMemberUniqueName="[poblacion_pregrado].[ppto_nuevos].[All]" allUniqueName="[poblacion_pregrado].[ppto_nuevos].[All]" dimensionUniqueName="[poblacion_pregrado]" displayFolder="" count="0" memberValueDatatype="5" unbalanced="0"/>
    <cacheHierarchy uniqueName="[poblacion_pregrado].[ppto_antiguos]" caption="ppto_antiguos" attribute="1" defaultMemberUniqueName="[poblacion_pregrado].[ppto_antiguos].[All]" allUniqueName="[poblacion_pregrado].[ppto_antiguos].[All]" dimensionUniqueName="[poblacion_pregrado]" displayFolder="" count="0" memberValueDatatype="5" unbalanced="0"/>
    <cacheHierarchy uniqueName="[poblacion_pregrado].[real_nuevos]" caption="real_nuevos" attribute="1" defaultMemberUniqueName="[poblacion_pregrado].[real_nuevos].[All]" allUniqueName="[poblacion_pregrado].[real_nuevos].[All]" dimensionUniqueName="[poblacion_pregrado]" displayFolder="" count="0" memberValueDatatype="5" unbalanced="0"/>
    <cacheHierarchy uniqueName="[poblacion_pregrado].[real_antiguos]" caption="real_antiguos" attribute="1" defaultMemberUniqueName="[poblacion_pregrado].[real_antiguos].[All]" allUniqueName="[poblacion_pregrado].[real_antiguos].[All]" dimensionUniqueName="[poblacion_pregrado]" displayFolder="" count="0" memberValueDatatype="5" unbalanced="0"/>
    <cacheHierarchy uniqueName="[poblacion_pregrado].[ppto]" caption="ppto" attribute="1" defaultMemberUniqueName="[poblacion_pregrado].[ppto].[All]" allUniqueName="[poblacion_pregrado].[ppto].[All]" dimensionUniqueName="[poblacion_pregrado]" displayFolder="" count="0" memberValueDatatype="5" unbalanced="0"/>
    <cacheHierarchy uniqueName="[poblacion_pregrado].[real]" caption="real" attribute="1" defaultMemberUniqueName="[poblacion_pregrado].[real].[All]" allUniqueName="[poblacion_pregrado].[real].[All]" dimensionUniqueName="[poblacion_pregrado]" displayFolder="" count="0" memberValueDatatype="5" unbalanced="0"/>
    <cacheHierarchy uniqueName="[poblacion_pregrado].[diferencia]" caption="diferencia" attribute="1" defaultMemberUniqueName="[poblacion_pregrado].[diferencia].[All]" allUniqueName="[poblacion_pregrado].[diferencia].[All]" dimensionUniqueName="[poblacion_pregrado]" displayFolder="" count="0" memberValueDatatype="5" unbalanced="0"/>
    <cacheHierarchy uniqueName="[Measures].[__XL_Count A2020]" caption="__XL_Count A2020" measure="1" displayFolder="" measureGroup="A2020" count="0" hidden="1"/>
    <cacheHierarchy uniqueName="[Measures].[__XL_Count IF]" caption="__XL_Count IF" measure="1" displayFolder="" measureGroup="IF" count="0" hidden="1"/>
    <cacheHierarchy uniqueName="[Measures].[__XL_Count poblacion_pregrado]" caption="__XL_Count poblacion_pregrado" measure="1" displayFolder="" measureGroup="poblacion_pregrado" count="0" hidden="1"/>
    <cacheHierarchy uniqueName="[Measures].[__XL_Count poblacion_postgrado]" caption="__XL_Count poblacion_postgrado" measure="1" displayFolder="" measureGroup="poblacion_postgrado" count="0" hidden="1"/>
    <cacheHierarchy uniqueName="[Measures].[__No measures defined]" caption="__No measures defined" measure="1" displayFolder="" count="0" hidden="1"/>
    <cacheHierarchy uniqueName="[Measures].[Suma de valor]" caption="Suma de valor" measure="1" displayFolder="" measureGroup="IF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real]" caption="Suma de real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al_nuevos]" caption="Suma de real_nuev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real_antiguos]" caption="Suma de real_antigu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real 2]" caption="Suma de real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eal_nuevos 2]" caption="Suma de real_nuev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real_antiguos 2]" caption="Suma de real_antigu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</cacheHierarchies>
  <kpis count="0"/>
  <dimensions count="5">
    <dimension name="A2020" uniqueName="[A2020]" caption="A2020"/>
    <dimension name="IF" uniqueName="[IF]" caption="IF"/>
    <dimension measure="1" name="Measures" uniqueName="[Measures]" caption="Measures"/>
    <dimension name="poblacion_postgrado" uniqueName="[poblacion_postgrado]" caption="poblacion_postgrado"/>
    <dimension name="poblacion_pregrado" uniqueName="[poblacion_pregrado]" caption="poblacion_pregrado"/>
  </dimensions>
  <measureGroups count="4">
    <measureGroup name="A2020" caption="A2020"/>
    <measureGroup name="IF" caption="IF"/>
    <measureGroup name="poblacion_postgrado" caption="poblacion_postgrado"/>
    <measureGroup name="poblacion_pregrado" caption="poblacion_pregrado"/>
  </measureGroups>
  <maps count="4">
    <map measureGroup="0" dimension="0"/>
    <map measureGroup="1" dimension="1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los Alberto Ceballos Gutierrez" refreshedDate="44383.602631712965" createdVersion="5" refreshedVersion="7" minRefreshableVersion="3" recordCount="0" supportSubquery="1" supportAdvancedDrill="1" xr:uid="{77F1B97E-A3A7-4D32-A333-238296E52320}">
  <cacheSource type="external" connectionId="8"/>
  <cacheFields count="8">
    <cacheField name="[IF].[departamento_jerarquia1].[departamento_jerarquia1]" caption="departamento_jerarquia1" numFmtId="0" hierarchy="37" level="1">
      <sharedItems containsSemiMixedTypes="0" containsNonDate="0" containsString="0"/>
    </cacheField>
    <cacheField name="[IF].[departamento_jerarquia2].[departamento_jerarquia2]" caption="departamento_jerarquia2" numFmtId="0" hierarchy="38" level="1">
      <sharedItems count="6">
        <s v="27"/>
        <s v="33"/>
        <s v="48"/>
        <s v="534"/>
        <s v="582"/>
        <s v="922"/>
      </sharedItems>
    </cacheField>
    <cacheField name="[IF].[mes].[mes]" caption="mes" numFmtId="0" hierarchy="28" level="1">
      <sharedItems containsSemiMixedTypes="0" containsString="0" containsNumber="1" containsInteger="1" minValue="1" maxValue="12" count="7">
        <n v="1"/>
        <n v="2"/>
        <n v="3"/>
        <n v="4"/>
        <n v="5"/>
        <n v="6"/>
        <n v="12"/>
      </sharedItems>
      <extLst>
        <ext xmlns:x15="http://schemas.microsoft.com/office/spreadsheetml/2010/11/main" uri="{4F2E5C28-24EA-4eb8-9CBF-B6C8F9C3D259}">
          <x15:cachedUniqueNames>
            <x15:cachedUniqueName index="0" name="[IF].[mes].&amp;[1]"/>
            <x15:cachedUniqueName index="1" name="[IF].[mes].&amp;[2]"/>
            <x15:cachedUniqueName index="2" name="[IF].[mes].&amp;[3]"/>
            <x15:cachedUniqueName index="3" name="[IF].[mes].&amp;[4]"/>
            <x15:cachedUniqueName index="4" name="[IF].[mes].&amp;[5]"/>
            <x15:cachedUniqueName index="5" name="[IF].[mes].&amp;[6]"/>
            <x15:cachedUniqueName index="6" name="[IF].[mes].&amp;[12]"/>
          </x15:cachedUniqueNames>
        </ext>
      </extLst>
    </cacheField>
    <cacheField name="[IF].[ano].[ano]" caption="ano" numFmtId="0" hierarchy="27" level="1">
      <sharedItems containsSemiMixedTypes="0" containsString="0" containsNumber="1" containsInteger="1" minValue="2018" maxValue="2021" count="4"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IF].[ano].&amp;[2018]"/>
            <x15:cachedUniqueName index="1" name="[IF].[ano].&amp;[2019]"/>
            <x15:cachedUniqueName index="2" name="[IF].[ano].&amp;[2020]"/>
            <x15:cachedUniqueName index="3" name="[IF].[ano].&amp;[2021]"/>
          </x15:cachedUniqueNames>
        </ext>
      </extLst>
    </cacheField>
    <cacheField name="[IF].[informacion].[informacion]" caption="informacion" numFmtId="0" hierarchy="34" level="1">
      <sharedItems count="2">
        <s v="PRESUPUESTO"/>
        <s v="EJECUCION"/>
      </sharedItems>
    </cacheField>
    <cacheField name="[Measures].[Suma de valor]" caption="Suma de valor" numFmtId="0" hierarchy="92" level="32767"/>
    <cacheField name="[IF].[cuenta_ppto].[cuenta_ppto]" caption="cuenta_ppto" numFmtId="0" hierarchy="29" level="1">
      <sharedItems count="21">
        <s v="7417010001"/>
        <s v="7417010002"/>
        <s v="7417010014"/>
        <s v="7518010001"/>
        <s v="7518010003"/>
        <s v="7518010006"/>
        <s v="7518010013"/>
        <s v="7518010016"/>
        <s v="7518010004"/>
        <s v="7518010009"/>
        <s v="7518010019"/>
        <s v="7518010002"/>
        <s v="7518010007"/>
        <s v="7518010008"/>
        <s v="7518010010"/>
        <s v="7518010011"/>
        <s v="7518010012"/>
        <s v="7518010014"/>
        <s v="7518010015"/>
        <s v="7518010005"/>
        <s v="7417010016"/>
      </sharedItems>
    </cacheField>
    <cacheField name="[IF].[nombre_cuenta].[nombre_cuenta]" caption="nombre_cuenta" numFmtId="0" hierarchy="30" level="1">
      <sharedItems count="21">
        <s v="INGRESOS SERVICIOS ACADEMICOS"/>
        <s v="INGRESOS SERVICIOS ADTVOS"/>
        <s v="INGRESOS SERV ACAD Y ADMIN INT"/>
        <s v="GASTOS SERVICIOS ACADEMICOS"/>
        <s v="AJUSTES GASTO DE PERSONAL"/>
        <s v="GASTOS OTROS CAFETERIA INT"/>
        <s v="GASTOS POR CAFETERIA INT"/>
        <s v="FONDO ESPECIAL"/>
        <s v="AJUSTES GASTOS GENERALES"/>
        <s v="GASTO SERVICIOS ADTVOS"/>
        <s v="GASTOS SERV ACAD Y ADMIN"/>
        <s v="CAPACITACION AL PERSONAL INT"/>
        <s v="GASTOS LIBRERIA INT"/>
        <s v="SUSCRIPCIONES Y REVISTAS INT"/>
        <s v="GASTOS ARRENDAMIENTOS INT"/>
        <s v="SERVICIOS PUBLICOS INT"/>
        <s v="DEPRECIA Y AMORTIZACIONES INT"/>
        <s v="PARQUEADEROS INT"/>
        <s v="PUBLICIDAD PROMOCION INT"/>
        <s v="AJUSTES GASTOS BIENESTAR"/>
        <s v="INGRESOS COMISIONES INT"/>
      </sharedItems>
    </cacheField>
  </cacheFields>
  <cacheHierarchies count="99">
    <cacheHierarchy uniqueName="[A2020].[ano]" caption="ano" attribute="1" defaultMemberUniqueName="[A2020].[ano].[All]" allUniqueName="[A2020].[ano].[All]" dimensionUniqueName="[A2020]" displayFolder="" count="0" memberValueDatatype="20" unbalanced="0"/>
    <cacheHierarchy uniqueName="[A2020].[mes]" caption="mes" attribute="1" defaultMemberUniqueName="[A2020].[mes].[All]" allUniqueName="[A2020].[mes].[All]" dimensionUniqueName="[A2020]" displayFolder="" count="0" memberValueDatatype="20" unbalanced="0"/>
    <cacheHierarchy uniqueName="[A2020].[cuenta_ppto]" caption="cuenta_ppto" attribute="1" defaultMemberUniqueName="[A2020].[cuenta_ppto].[All]" allUniqueName="[A2020].[cuenta_ppto].[All]" dimensionUniqueName="[A2020]" displayFolder="" count="0" memberValueDatatype="130" unbalanced="0"/>
    <cacheHierarchy uniqueName="[A2020].[nombre_cuenta]" caption="nombre_cuenta" attribute="1" defaultMemberUniqueName="[A2020].[nombre_cuenta].[All]" allUniqueName="[A2020].[nombre_cuenta].[All]" dimensionUniqueName="[A2020]" displayFolder="" count="0" memberValueDatatype="130" unbalanced="0"/>
    <cacheHierarchy uniqueName="[A2020].[grupo_cuenta]" caption="grupo_cuenta" attribute="1" defaultMemberUniqueName="[A2020].[grupo_cuenta].[All]" allUniqueName="[A2020].[grupo_cuenta].[All]" dimensionUniqueName="[A2020]" displayFolder="" count="0" memberValueDatatype="130" unbalanced="0"/>
    <cacheHierarchy uniqueName="[A2020].[grupo_analisis]" caption="grupo_analisis" attribute="1" defaultMemberUniqueName="[A2020].[grupo_analisis].[All]" allUniqueName="[A2020].[grupo_analisis].[All]" dimensionUniqueName="[A2020]" displayFolder="" count="0" memberValueDatatype="130" unbalanced="0"/>
    <cacheHierarchy uniqueName="[A2020].[valor]" caption="valor" attribute="1" defaultMemberUniqueName="[A2020].[valor].[All]" allUniqueName="[A2020].[valor].[All]" dimensionUniqueName="[A2020]" displayFolder="" count="0" memberValueDatatype="5" unbalanced="0"/>
    <cacheHierarchy uniqueName="[A2020].[informacion]" caption="informacion" attribute="1" defaultMemberUniqueName="[A2020].[informacion].[All]" allUniqueName="[A2020].[informacion].[All]" dimensionUniqueName="[A2020]" displayFolder="" count="0" memberValueDatatype="130" unbalanced="0"/>
    <cacheHierarchy uniqueName="[A2020].[departamento_padre]" caption="departamento_padre" attribute="1" defaultMemberUniqueName="[A2020].[departamento_padre].[All]" allUniqueName="[A2020].[departamento_padre].[All]" dimensionUniqueName="[A2020]" displayFolder="" count="0" memberValueDatatype="130" unbalanced="0"/>
    <cacheHierarchy uniqueName="[A2020].[departamento_hijo]" caption="departamento_hijo" attribute="1" defaultMemberUniqueName="[A2020].[departamento_hijo].[All]" allUniqueName="[A2020].[departamento_hijo].[All]" dimensionUniqueName="[A2020]" displayFolder="" count="0" memberValueDatatype="130" unbalanced="0"/>
    <cacheHierarchy uniqueName="[A2020].[departamento_jerarquia1]" caption="departamento_jerarquia1" attribute="1" defaultMemberUniqueName="[A2020].[departamento_jerarquia1].[All]" allUniqueName="[A2020].[departamento_jerarquia1].[All]" dimensionUniqueName="[A2020]" displayFolder="" count="0" memberValueDatatype="130" unbalanced="0"/>
    <cacheHierarchy uniqueName="[A2020].[departamento_jerarquia2]" caption="departamento_jerarquia2" attribute="1" defaultMemberUniqueName="[A2020].[departamento_jerarquia2].[All]" allUniqueName="[A2020].[departamento_jerarquia2].[All]" dimensionUniqueName="[A2020]" displayFolder="" count="0" memberValueDatatype="130" unbalanced="0"/>
    <cacheHierarchy uniqueName="[A2020].[nombre_departamento_padre]" caption="nombre_departamento_padre" attribute="1" defaultMemberUniqueName="[A2020].[nombre_departamento_padre].[All]" allUniqueName="[A2020].[nombre_departamento_padre].[All]" dimensionUniqueName="[A2020]" displayFolder="" count="0" memberValueDatatype="130" unbalanced="0"/>
    <cacheHierarchy uniqueName="[A2020].[numero_nivel]" caption="numero_nivel" attribute="1" defaultMemberUniqueName="[A2020].[numero_nivel].[All]" allUniqueName="[A2020].[numero_nivel].[All]" dimensionUniqueName="[A2020]" displayFolder="" count="0" memberValueDatatype="20" unbalanced="0"/>
    <cacheHierarchy uniqueName="[A2020].[nombre_departamento_hijo]" caption="nombre_departamento_hijo" attribute="1" defaultMemberUniqueName="[A2020].[nombre_departamento_hijo].[All]" allUniqueName="[A2020].[nombre_departamento_hijo].[All]" dimensionUniqueName="[A2020]" displayFolder="" count="0" memberValueDatatype="130" unbalanced="0"/>
    <cacheHierarchy uniqueName="[A2020].[proyecto]" caption="proyecto" attribute="1" defaultMemberUniqueName="[A2020].[proyecto].[All]" allUniqueName="[A2020].[proyecto].[All]" dimensionUniqueName="[A2020]" displayFolder="" count="0" memberValueDatatype="130" unbalanced="0"/>
    <cacheHierarchy uniqueName="[A2020].[grupo_jerarquia]" caption="grupo_jerarquia" attribute="1" defaultMemberUniqueName="[A2020].[grupo_jerarquia].[All]" allUniqueName="[A2020].[grupo_jerarquia].[All]" dimensionUniqueName="[A2020]" displayFolder="" count="0" memberValueDatatype="130" unbalanced="0"/>
    <cacheHierarchy uniqueName="[A2020].[nombre_grupo_jerarquia]" caption="nombre_grupo_jerarquia" attribute="1" defaultMemberUniqueName="[A2020].[nombre_grupo_jerarquia].[All]" allUniqueName="[A2020].[nombre_grupo_jerarquia].[All]" dimensionUniqueName="[A2020]" displayFolder="" count="0" memberValueDatatype="130" unbalanced="0"/>
    <cacheHierarchy uniqueName="[A2020].[tipo_cuenta]" caption="tipo_cuenta" attribute="1" defaultMemberUniqueName="[A2020].[tipo_cuenta].[All]" allUniqueName="[A2020].[tipo_cuenta].[All]" dimensionUniqueName="[A2020]" displayFolder="" count="0" memberValueDatatype="130" unbalanced="0"/>
    <cacheHierarchy uniqueName="[A2020].[nombre_tipo_cuenta]" caption="nombre_tipo_cuenta" attribute="1" defaultMemberUniqueName="[A2020].[nombre_tipo_cuenta].[All]" allUniqueName="[A2020].[nombre_tipo_cuenta].[All]" dimensionUniqueName="[A2020]" displayFolder="" count="0" memberValueDatatype="130" unbalanced="0"/>
    <cacheHierarchy uniqueName="[A2020].[tipo_unidad]" caption="tipo_unidad" attribute="1" defaultMemberUniqueName="[A2020].[tipo_unidad].[All]" allUniqueName="[A2020].[tipo_unidad].[All]" dimensionUniqueName="[A2020]" displayFolder="" count="0" memberValueDatatype="130" unbalanced="0"/>
    <cacheHierarchy uniqueName="[A2020].[nombre_tipo_unidad]" caption="nombre_tipo_unidad" attribute="1" defaultMemberUniqueName="[A2020].[nombre_tipo_unidad].[All]" allUniqueName="[A2020].[nombre_tipo_unidad].[All]" dimensionUniqueName="[A2020]" displayFolder="" count="0" memberValueDatatype="130" unbalanced="0"/>
    <cacheHierarchy uniqueName="[A2020].[tipo_programa]" caption="tipo_programa" attribute="1" defaultMemberUniqueName="[A2020].[tipo_programa].[All]" allUniqueName="[A2020].[tipo_programa].[All]" dimensionUniqueName="[A2020]" displayFolder="" count="0" memberValueDatatype="130" unbalanced="0"/>
    <cacheHierarchy uniqueName="[A2020].[nombre_tipo_programa]" caption="nombre_tipo_programa" attribute="1" defaultMemberUniqueName="[A2020].[nombre_tipo_programa].[All]" allUniqueName="[A2020].[nombre_tipo_programa].[All]" dimensionUniqueName="[A2020]" displayFolder="" count="0" memberValueDatatype="130" unbalanced="0"/>
    <cacheHierarchy uniqueName="[A2020].[nombre_metodologia]" caption="nombre_metodologia" attribute="1" defaultMemberUniqueName="[A2020].[nombre_metodologia].[All]" allUniqueName="[A2020].[nombre_metodologia].[All]" dimensionUniqueName="[A2020]" displayFolder="" count="0" memberValueDatatype="130" unbalanced="0"/>
    <cacheHierarchy uniqueName="[A2020].[tipo_departamento]" caption="tipo_departamento" attribute="1" defaultMemberUniqueName="[A2020].[tipo_departamento].[All]" allUniqueName="[A2020].[tipo_departamento].[All]" dimensionUniqueName="[A2020]" displayFolder="" count="0" memberValueDatatype="130" unbalanced="0"/>
    <cacheHierarchy uniqueName="[A2020].[horizonte]" caption="horizonte" attribute="1" defaultMemberUniqueName="[A2020].[horizonte].[All]" allUniqueName="[A2020].[horizonte].[All]" dimensionUniqueName="[A2020]" displayFolder="" count="0" memberValueDatatype="130" unbalanced="0"/>
    <cacheHierarchy uniqueName="[IF].[ano]" caption="ano" attribute="1" defaultMemberUniqueName="[IF].[ano].[All]" allUniqueName="[IF].[ano].[All]" dimensionUniqueName="[IF]" displayFolder="" count="2" memberValueDatatype="20" unbalanced="0">
      <fieldsUsage count="2">
        <fieldUsage x="-1"/>
        <fieldUsage x="3"/>
      </fieldsUsage>
    </cacheHierarchy>
    <cacheHierarchy uniqueName="[IF].[mes]" caption="mes" attribute="1" defaultMemberUniqueName="[IF].[mes].[All]" allUniqueName="[IF].[mes].[All]" dimensionUniqueName="[IF]" displayFolder="" count="2" memberValueDatatype="20" unbalanced="0">
      <fieldsUsage count="2">
        <fieldUsage x="-1"/>
        <fieldUsage x="2"/>
      </fieldsUsage>
    </cacheHierarchy>
    <cacheHierarchy uniqueName="[IF].[cuenta_ppto]" caption="cuenta_ppto" attribute="1" defaultMemberUniqueName="[IF].[cuenta_ppto].[All]" allUniqueName="[IF].[cuenta_ppto].[All]" dimensionUniqueName="[IF]" displayFolder="" count="2" memberValueDatatype="130" unbalanced="0">
      <fieldsUsage count="2">
        <fieldUsage x="-1"/>
        <fieldUsage x="6"/>
      </fieldsUsage>
    </cacheHierarchy>
    <cacheHierarchy uniqueName="[IF].[nombre_cuenta]" caption="nombre_cuenta" attribute="1" defaultMemberUniqueName="[IF].[nombre_cuenta].[All]" allUniqueName="[IF].[nombre_cuenta].[All]" dimensionUniqueName="[IF]" displayFolder="" count="2" memberValueDatatype="130" unbalanced="0">
      <fieldsUsage count="2">
        <fieldUsage x="-1"/>
        <fieldUsage x="7"/>
      </fieldsUsage>
    </cacheHierarchy>
    <cacheHierarchy uniqueName="[IF].[grupo_cuenta]" caption="grupo_cuenta" attribute="1" defaultMemberUniqueName="[IF].[grupo_cuenta].[All]" allUniqueName="[IF].[grupo_cuenta].[All]" dimensionUniqueName="[IF]" displayFolder="" count="0" memberValueDatatype="130" unbalanced="0"/>
    <cacheHierarchy uniqueName="[IF].[grupo_analisis]" caption="grupo_analisis" attribute="1" defaultMemberUniqueName="[IF].[grupo_analisis].[All]" allUniqueName="[IF].[grupo_analisis].[All]" dimensionUniqueName="[IF]" displayFolder="" count="0" memberValueDatatype="130" unbalanced="0"/>
    <cacheHierarchy uniqueName="[IF].[valor]" caption="valor" attribute="1" defaultMemberUniqueName="[IF].[valor].[All]" allUniqueName="[IF].[valor].[All]" dimensionUniqueName="[IF]" displayFolder="" count="0" memberValueDatatype="5" unbalanced="0"/>
    <cacheHierarchy uniqueName="[IF].[informacion]" caption="informacion" attribute="1" defaultMemberUniqueName="[IF].[informacion].[All]" allUniqueName="[IF].[informacion].[All]" dimensionUniqueName="[IF]" displayFolder="" count="2" memberValueDatatype="130" unbalanced="0">
      <fieldsUsage count="2">
        <fieldUsage x="-1"/>
        <fieldUsage x="4"/>
      </fieldsUsage>
    </cacheHierarchy>
    <cacheHierarchy uniqueName="[IF].[departamento_padre]" caption="departamento_padre" attribute="1" defaultMemberUniqueName="[IF].[departamento_padre].[All]" allUniqueName="[IF].[departamento_padre].[All]" dimensionUniqueName="[IF]" displayFolder="" count="0" memberValueDatatype="130" unbalanced="0"/>
    <cacheHierarchy uniqueName="[IF].[departamento_hijo]" caption="departamento_hijo" attribute="1" defaultMemberUniqueName="[IF].[departamento_hijo].[All]" allUniqueName="[IF].[departamento_hijo].[All]" dimensionUniqueName="[IF]" displayFolder="" count="0" memberValueDatatype="130" unbalanced="0"/>
    <cacheHierarchy uniqueName="[IF].[departamento_jerarquia1]" caption="departamento_jerarquia1" attribute="1" defaultMemberUniqueName="[IF].[departamento_jerarquia1].[All]" allUniqueName="[IF].[departamento_jerarquia1].[All]" dimensionUniqueName="[IF]" displayFolder="" count="2" memberValueDatatype="130" unbalanced="0">
      <fieldsUsage count="2">
        <fieldUsage x="-1"/>
        <fieldUsage x="0"/>
      </fieldsUsage>
    </cacheHierarchy>
    <cacheHierarchy uniqueName="[IF].[departamento_jerarquia2]" caption="departamento_jerarquia2" attribute="1" defaultMemberUniqueName="[IF].[departamento_jerarquia2].[All]" allUniqueName="[IF].[departamento_jerarquia2].[All]" dimensionUniqueName="[IF]" displayFolder="" count="2" memberValueDatatype="130" unbalanced="0">
      <fieldsUsage count="2">
        <fieldUsage x="-1"/>
        <fieldUsage x="1"/>
      </fieldsUsage>
    </cacheHierarchy>
    <cacheHierarchy uniqueName="[IF].[nombre_departamento_padre]" caption="nombre_departamento_padre" attribute="1" defaultMemberUniqueName="[IF].[nombre_departamento_padre].[All]" allUniqueName="[IF].[nombre_departamento_padre].[All]" dimensionUniqueName="[IF]" displayFolder="" count="0" memberValueDatatype="130" unbalanced="0"/>
    <cacheHierarchy uniqueName="[IF].[numero_nivel]" caption="numero_nivel" attribute="1" defaultMemberUniqueName="[IF].[numero_nivel].[All]" allUniqueName="[IF].[numero_nivel].[All]" dimensionUniqueName="[IF]" displayFolder="" count="0" memberValueDatatype="20" unbalanced="0"/>
    <cacheHierarchy uniqueName="[IF].[nombre_departamento_hijo]" caption="nombre_departamento_hijo" attribute="1" defaultMemberUniqueName="[IF].[nombre_departamento_hijo].[All]" allUniqueName="[IF].[nombre_departamento_hijo].[All]" dimensionUniqueName="[IF]" displayFolder="" count="0" memberValueDatatype="130" unbalanced="0"/>
    <cacheHierarchy uniqueName="[IF].[proyecto]" caption="proyecto" attribute="1" defaultMemberUniqueName="[IF].[proyecto].[All]" allUniqueName="[IF].[proyecto].[All]" dimensionUniqueName="[IF]" displayFolder="" count="0" memberValueDatatype="130" unbalanced="0"/>
    <cacheHierarchy uniqueName="[IF].[grupo_jerarquia]" caption="grupo_jerarquia" attribute="1" defaultMemberUniqueName="[IF].[grupo_jerarquia].[All]" allUniqueName="[IF].[grupo_jerarquia].[All]" dimensionUniqueName="[IF]" displayFolder="" count="0" memberValueDatatype="130" unbalanced="0"/>
    <cacheHierarchy uniqueName="[IF].[nombre_grupo_jerarquia]" caption="nombre_grupo_jerarquia" attribute="1" defaultMemberUniqueName="[IF].[nombre_grupo_jerarquia].[All]" allUniqueName="[IF].[nombre_grupo_jerarquia].[All]" dimensionUniqueName="[IF]" displayFolder="" count="0" memberValueDatatype="130" unbalanced="0"/>
    <cacheHierarchy uniqueName="[IF].[tipo_cuenta]" caption="tipo_cuenta" attribute="1" defaultMemberUniqueName="[IF].[tipo_cuenta].[All]" allUniqueName="[IF].[tipo_cuenta].[All]" dimensionUniqueName="[IF]" displayFolder="" count="0" memberValueDatatype="130" unbalanced="0"/>
    <cacheHierarchy uniqueName="[IF].[nombre_tipo_cuenta]" caption="nombre_tipo_cuenta" attribute="1" defaultMemberUniqueName="[IF].[nombre_tipo_cuenta].[All]" allUniqueName="[IF].[nombre_tipo_cuenta].[All]" dimensionUniqueName="[IF]" displayFolder="" count="0" memberValueDatatype="130" unbalanced="0"/>
    <cacheHierarchy uniqueName="[IF].[tipo_unidad]" caption="tipo_unidad" attribute="1" defaultMemberUniqueName="[IF].[tipo_unidad].[All]" allUniqueName="[IF].[tipo_unidad].[All]" dimensionUniqueName="[IF]" displayFolder="" count="0" memberValueDatatype="130" unbalanced="0"/>
    <cacheHierarchy uniqueName="[IF].[nombre_tipo_unidad]" caption="nombre_tipo_unidad" attribute="1" defaultMemberUniqueName="[IF].[nombre_tipo_unidad].[All]" allUniqueName="[IF].[nombre_tipo_unidad].[All]" dimensionUniqueName="[IF]" displayFolder="" count="0" memberValueDatatype="130" unbalanced="0"/>
    <cacheHierarchy uniqueName="[IF].[tipo_programa]" caption="tipo_programa" attribute="1" defaultMemberUniqueName="[IF].[tipo_programa].[All]" allUniqueName="[IF].[tipo_programa].[All]" dimensionUniqueName="[IF]" displayFolder="" count="0" memberValueDatatype="130" unbalanced="0"/>
    <cacheHierarchy uniqueName="[IF].[nombre_tipo_programa]" caption="nombre_tipo_programa" attribute="1" defaultMemberUniqueName="[IF].[nombre_tipo_programa].[All]" allUniqueName="[IF].[nombre_tipo_programa].[All]" dimensionUniqueName="[IF]" displayFolder="" count="0" memberValueDatatype="130" unbalanced="0"/>
    <cacheHierarchy uniqueName="[IF].[nombre_metodologia]" caption="nombre_metodologia" attribute="1" defaultMemberUniqueName="[IF].[nombre_metodologia].[All]" allUniqueName="[IF].[nombre_metodologia].[All]" dimensionUniqueName="[IF]" displayFolder="" count="0" memberValueDatatype="130" unbalanced="0"/>
    <cacheHierarchy uniqueName="[IF].[tipo_departamento]" caption="tipo_departamento" attribute="1" defaultMemberUniqueName="[IF].[tipo_departamento].[All]" allUniqueName="[IF].[tipo_departamento].[All]" dimensionUniqueName="[IF]" displayFolder="" count="0" memberValueDatatype="130" unbalanced="0"/>
    <cacheHierarchy uniqueName="[IF].[horizonte]" caption="horizonte" attribute="1" defaultMemberUniqueName="[IF].[horizonte].[All]" allUniqueName="[IF].[horizonte].[All]" dimensionUniqueName="[IF]" displayFolder="" count="0" memberValueDatatype="130" unbalanced="0"/>
    <cacheHierarchy uniqueName="[poblacion_postgrado].[ano]" caption="ano" attribute="1" defaultMemberUniqueName="[poblacion_postgrado].[ano].[All]" allUniqueName="[poblacion_postgrado].[ano].[All]" dimensionUniqueName="[poblacion_postgrado]" displayFolder="" count="0" memberValueDatatype="20" unbalanced="0"/>
    <cacheHierarchy uniqueName="[poblacion_postgrado].[periodo]" caption="periodo" attribute="1" defaultMemberUniqueName="[poblacion_postgrado].[periodo].[All]" allUniqueName="[poblacion_postgrado].[periodo].[All]" dimensionUniqueName="[poblacion_postgrado]" displayFolder="" count="0" memberValueDatatype="130" unbalanced="0"/>
    <cacheHierarchy uniqueName="[poblacion_postgrado].[semestre]" caption="semestre" attribute="1" defaultMemberUniqueName="[poblacion_postgrado].[semestre].[All]" allUniqueName="[poblacion_postgrado].[semestre].[All]" dimensionUniqueName="[poblacion_postgrado]" displayFolder="" count="0" memberValueDatatype="20" unbalanced="0"/>
    <cacheHierarchy uniqueName="[poblacion_postgrado].[fecha]" caption="fecha" attribute="1" defaultMemberUniqueName="[poblacion_postgrado].[fecha].[All]" allUniqueName="[poblacion_postgrado].[fecha].[All]" dimensionUniqueName="[poblacion_postgrado]" displayFolder="" count="0" memberValueDatatype="130" unbalanced="0"/>
    <cacheHierarchy uniqueName="[poblacion_postgrado].[departamento_padre]" caption="departamento_padre" attribute="1" defaultMemberUniqueName="[poblacion_postgrado].[departamento_padre].[All]" allUniqueName="[poblacion_postgrado].[departamento_padre].[All]" dimensionUniqueName="[poblacion_postgrado]" displayFolder="" count="0" memberValueDatatype="130" unbalanced="0"/>
    <cacheHierarchy uniqueName="[poblacion_postgrado].[nombre_departamento_padre]" caption="nombre_departamento_padre" attribute="1" defaultMemberUniqueName="[poblacion_postgrado].[nombre_departamento_padre].[All]" allUniqueName="[poblacion_postgrado].[nombre_departamento_padre].[All]" dimensionUniqueName="[poblacion_postgrado]" displayFolder="" count="0" memberValueDatatype="130" unbalanced="0"/>
    <cacheHierarchy uniqueName="[poblacion_postgrado].[departamento]" caption="departamento" attribute="1" defaultMemberUniqueName="[poblacion_postgrado].[departamento].[All]" allUniqueName="[poblacion_postgrado].[departamento].[All]" dimensionUniqueName="[poblacion_postgrado]" displayFolder="" count="0" memberValueDatatype="130" unbalanced="0"/>
    <cacheHierarchy uniqueName="[poblacion_postgrado].[nombre_departamento_hijo]" caption="nombre_departamento_hijo" attribute="1" defaultMemberUniqueName="[poblacion_postgrado].[nombre_departamento_hijo].[All]" allUniqueName="[poblacion_postgrado].[nombre_departamento_hijo].[All]" dimensionUniqueName="[poblacion_postgrado]" displayFolder="" count="0" memberValueDatatype="130" unbalanced="0"/>
    <cacheHierarchy uniqueName="[poblacion_postgrado].[tipo_programa]" caption="tipo_programa" attribute="1" defaultMemberUniqueName="[poblacion_postgrado].[tipo_programa].[All]" allUniqueName="[poblacion_postgrado].[tipo_programa].[All]" dimensionUniqueName="[poblacion_postgrado]" displayFolder="" count="0" memberValueDatatype="130" unbalanced="0"/>
    <cacheHierarchy uniqueName="[poblacion_postgrado].[nombre_tipo_programa]" caption="nombre_tipo_programa" attribute="1" defaultMemberUniqueName="[poblacion_postgrado].[nombre_tipo_programa].[All]" allUniqueName="[poblacion_postgrado].[nombre_tipo_programa].[All]" dimensionUniqueName="[poblacion_postgrado]" displayFolder="" count="0" memberValueDatatype="130" unbalanced="0"/>
    <cacheHierarchy uniqueName="[poblacion_postgrado].[nombre_metodologia]" caption="nombre_metodologia" attribute="1" defaultMemberUniqueName="[poblacion_postgrado].[nombre_metodologia].[All]" allUniqueName="[poblacion_postgrado].[nombre_metodologia].[All]" dimensionUniqueName="[poblacion_postgrado]" displayFolder="" count="0" memberValueDatatype="130" unbalanced="0"/>
    <cacheHierarchy uniqueName="[poblacion_postgrado].[ppto_nuevos]" caption="ppto_nuevos" attribute="1" defaultMemberUniqueName="[poblacion_postgrado].[ppto_nuevos].[All]" allUniqueName="[poblacion_postgrado].[ppto_nuevos].[All]" dimensionUniqueName="[poblacion_postgrado]" displayFolder="" count="0" memberValueDatatype="20" unbalanced="0"/>
    <cacheHierarchy uniqueName="[poblacion_postgrado].[ppto_antiguos]" caption="ppto_antiguos" attribute="1" defaultMemberUniqueName="[poblacion_postgrado].[ppto_antiguos].[All]" allUniqueName="[poblacion_postgrado].[ppto_antiguos].[All]" dimensionUniqueName="[poblacion_postgrado]" displayFolder="" count="0" memberValueDatatype="20" unbalanced="0"/>
    <cacheHierarchy uniqueName="[poblacion_postgrado].[real_nuevos]" caption="real_nuevos" attribute="1" defaultMemberUniqueName="[poblacion_postgrado].[real_nuevos].[All]" allUniqueName="[poblacion_postgrado].[real_nuevos].[All]" dimensionUniqueName="[poblacion_postgrado]" displayFolder="" count="0" memberValueDatatype="20" unbalanced="0"/>
    <cacheHierarchy uniqueName="[poblacion_postgrado].[real_antiguos]" caption="real_antiguos" attribute="1" defaultMemberUniqueName="[poblacion_postgrado].[real_antiguos].[All]" allUniqueName="[poblacion_postgrado].[real_antiguos].[All]" dimensionUniqueName="[poblacion_postgrado]" displayFolder="" count="0" memberValueDatatype="20" unbalanced="0"/>
    <cacheHierarchy uniqueName="[poblacion_postgrado].[ppto]" caption="ppto" attribute="1" defaultMemberUniqueName="[poblacion_postgrado].[ppto].[All]" allUniqueName="[poblacion_postgrado].[ppto].[All]" dimensionUniqueName="[poblacion_postgrado]" displayFolder="" count="0" memberValueDatatype="20" unbalanced="0"/>
    <cacheHierarchy uniqueName="[poblacion_postgrado].[real]" caption="real" attribute="1" defaultMemberUniqueName="[poblacion_postgrado].[real].[All]" allUniqueName="[poblacion_postgrado].[real].[All]" dimensionUniqueName="[poblacion_postgrado]" displayFolder="" count="0" memberValueDatatype="20" unbalanced="0"/>
    <cacheHierarchy uniqueName="[poblacion_postgrado].[diferencia]" caption="diferencia" attribute="1" defaultMemberUniqueName="[poblacion_postgrado].[diferencia].[All]" allUniqueName="[poblacion_postgrado].[diferencia].[All]" dimensionUniqueName="[poblacion_postgrado]" displayFolder="" count="0" memberValueDatatype="20" unbalanced="0"/>
    <cacheHierarchy uniqueName="[poblacion_pregrado].[ano]" caption="ano" attribute="1" defaultMemberUniqueName="[poblacion_pregrado].[ano].[All]" allUniqueName="[poblacion_pregrado].[ano].[All]" dimensionUniqueName="[poblacion_pregrado]" displayFolder="" count="0" memberValueDatatype="20" unbalanced="0"/>
    <cacheHierarchy uniqueName="[poblacion_pregrado].[periodo]" caption="periodo" attribute="1" defaultMemberUniqueName="[poblacion_pregrado].[periodo].[All]" allUniqueName="[poblacion_pregrado].[periodo].[All]" dimensionUniqueName="[poblacion_pregrado]" displayFolder="" count="0" memberValueDatatype="130" unbalanced="0"/>
    <cacheHierarchy uniqueName="[poblacion_pregrado].[semestre]" caption="semestre" attribute="1" defaultMemberUniqueName="[poblacion_pregrado].[semestre].[All]" allUniqueName="[poblacion_pregrado].[semestre].[All]" dimensionUniqueName="[poblacion_pregrado]" displayFolder="" count="0" memberValueDatatype="20" unbalanced="0"/>
    <cacheHierarchy uniqueName="[poblacion_pregrado].[departamento_padre]" caption="departamento_padre" attribute="1" defaultMemberUniqueName="[poblacion_pregrado].[departamento_padre].[All]" allUniqueName="[poblacion_pregrado].[departamento_padre].[All]" dimensionUniqueName="[poblacion_pregrado]" displayFolder="" count="0" memberValueDatatype="130" unbalanced="0"/>
    <cacheHierarchy uniqueName="[poblacion_pregrado].[nombre_departamento_padre]" caption="nombre_departamento_padre" attribute="1" defaultMemberUniqueName="[poblacion_pregrado].[nombre_departamento_padre].[All]" allUniqueName="[poblacion_pregrado].[nombre_departamento_padre].[All]" dimensionUniqueName="[poblacion_pregrado]" displayFolder="" count="0" memberValueDatatype="130" unbalanced="0"/>
    <cacheHierarchy uniqueName="[poblacion_pregrado].[departamento]" caption="departamento" attribute="1" defaultMemberUniqueName="[poblacion_pregrado].[departamento].[All]" allUniqueName="[poblacion_pregrado].[departamento].[All]" dimensionUniqueName="[poblacion_pregrado]" displayFolder="" count="0" memberValueDatatype="130" unbalanced="0"/>
    <cacheHierarchy uniqueName="[poblacion_pregrado].[nombre_departamento_hijo]" caption="nombre_departamento_hijo" attribute="1" defaultMemberUniqueName="[poblacion_pregrado].[nombre_departamento_hijo].[All]" allUniqueName="[poblacion_pregrado].[nombre_departamento_hijo].[All]" dimensionUniqueName="[poblacion_pregrado]" displayFolder="" count="0" memberValueDatatype="130" unbalanced="0"/>
    <cacheHierarchy uniqueName="[poblacion_pregrado].[nombre_tipo_estudiante]" caption="nombre_tipo_estudiante" attribute="1" defaultMemberUniqueName="[poblacion_pregrado].[nombre_tipo_estudiante].[All]" allUniqueName="[poblacion_pregrado].[nombre_tipo_estudiante].[All]" dimensionUniqueName="[poblacion_pregrado]" displayFolder="" count="0" memberValueDatatype="130" unbalanced="0"/>
    <cacheHierarchy uniqueName="[poblacion_pregrado].[ppto_nuevos]" caption="ppto_nuevos" attribute="1" defaultMemberUniqueName="[poblacion_pregrado].[ppto_nuevos].[All]" allUniqueName="[poblacion_pregrado].[ppto_nuevos].[All]" dimensionUniqueName="[poblacion_pregrado]" displayFolder="" count="0" memberValueDatatype="5" unbalanced="0"/>
    <cacheHierarchy uniqueName="[poblacion_pregrado].[ppto_antiguos]" caption="ppto_antiguos" attribute="1" defaultMemberUniqueName="[poblacion_pregrado].[ppto_antiguos].[All]" allUniqueName="[poblacion_pregrado].[ppto_antiguos].[All]" dimensionUniqueName="[poblacion_pregrado]" displayFolder="" count="0" memberValueDatatype="5" unbalanced="0"/>
    <cacheHierarchy uniqueName="[poblacion_pregrado].[real_nuevos]" caption="real_nuevos" attribute="1" defaultMemberUniqueName="[poblacion_pregrado].[real_nuevos].[All]" allUniqueName="[poblacion_pregrado].[real_nuevos].[All]" dimensionUniqueName="[poblacion_pregrado]" displayFolder="" count="0" memberValueDatatype="5" unbalanced="0"/>
    <cacheHierarchy uniqueName="[poblacion_pregrado].[real_antiguos]" caption="real_antiguos" attribute="1" defaultMemberUniqueName="[poblacion_pregrado].[real_antiguos].[All]" allUniqueName="[poblacion_pregrado].[real_antiguos].[All]" dimensionUniqueName="[poblacion_pregrado]" displayFolder="" count="0" memberValueDatatype="5" unbalanced="0"/>
    <cacheHierarchy uniqueName="[poblacion_pregrado].[ppto]" caption="ppto" attribute="1" defaultMemberUniqueName="[poblacion_pregrado].[ppto].[All]" allUniqueName="[poblacion_pregrado].[ppto].[All]" dimensionUniqueName="[poblacion_pregrado]" displayFolder="" count="0" memberValueDatatype="5" unbalanced="0"/>
    <cacheHierarchy uniqueName="[poblacion_pregrado].[real]" caption="real" attribute="1" defaultMemberUniqueName="[poblacion_pregrado].[real].[All]" allUniqueName="[poblacion_pregrado].[real].[All]" dimensionUniqueName="[poblacion_pregrado]" displayFolder="" count="0" memberValueDatatype="5" unbalanced="0"/>
    <cacheHierarchy uniqueName="[poblacion_pregrado].[diferencia]" caption="diferencia" attribute="1" defaultMemberUniqueName="[poblacion_pregrado].[diferencia].[All]" allUniqueName="[poblacion_pregrado].[diferencia].[All]" dimensionUniqueName="[poblacion_pregrado]" displayFolder="" count="0" memberValueDatatype="5" unbalanced="0"/>
    <cacheHierarchy uniqueName="[Measures].[__XL_Count A2020]" caption="__XL_Count A2020" measure="1" displayFolder="" measureGroup="A2020" count="0" hidden="1"/>
    <cacheHierarchy uniqueName="[Measures].[__XL_Count IF]" caption="__XL_Count IF" measure="1" displayFolder="" measureGroup="IF" count="0" hidden="1"/>
    <cacheHierarchy uniqueName="[Measures].[__XL_Count poblacion_pregrado]" caption="__XL_Count poblacion_pregrado" measure="1" displayFolder="" measureGroup="poblacion_pregrado" count="0" hidden="1"/>
    <cacheHierarchy uniqueName="[Measures].[__XL_Count poblacion_postgrado]" caption="__XL_Count poblacion_postgrado" measure="1" displayFolder="" measureGroup="poblacion_postgrado" count="0" hidden="1"/>
    <cacheHierarchy uniqueName="[Measures].[__No measures defined]" caption="__No measures defined" measure="1" displayFolder="" count="0" hidden="1"/>
    <cacheHierarchy uniqueName="[Measures].[Suma de valor]" caption="Suma de valor" measure="1" displayFolder="" measureGroup="IF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real]" caption="Suma de real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al_nuevos]" caption="Suma de real_nuev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real_antiguos]" caption="Suma de real_antigu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real 2]" caption="Suma de real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eal_nuevos 2]" caption="Suma de real_nuev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real_antiguos 2]" caption="Suma de real_antigu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</cacheHierarchies>
  <kpis count="0"/>
  <dimensions count="5">
    <dimension name="A2020" uniqueName="[A2020]" caption="A2020"/>
    <dimension name="IF" uniqueName="[IF]" caption="IF"/>
    <dimension measure="1" name="Measures" uniqueName="[Measures]" caption="Measures"/>
    <dimension name="poblacion_postgrado" uniqueName="[poblacion_postgrado]" caption="poblacion_postgrado"/>
    <dimension name="poblacion_pregrado" uniqueName="[poblacion_pregrado]" caption="poblacion_pregrado"/>
  </dimensions>
  <measureGroups count="4">
    <measureGroup name="A2020" caption="A2020"/>
    <measureGroup name="IF" caption="IF"/>
    <measureGroup name="poblacion_postgrado" caption="poblacion_postgrado"/>
    <measureGroup name="poblacion_pregrado" caption="poblacion_pregrado"/>
  </measureGroups>
  <maps count="4">
    <map measureGroup="0" dimension="0"/>
    <map measureGroup="1" dimension="1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los Alberto Ceballos Gutierrez" refreshedDate="44383.602632523151" createdVersion="5" refreshedVersion="7" minRefreshableVersion="3" recordCount="0" supportSubquery="1" supportAdvancedDrill="1" xr:uid="{AE6140EE-A0DC-4A85-9AE6-86572EE62D39}">
  <cacheSource type="external" connectionId="8"/>
  <cacheFields count="8">
    <cacheField name="[IF].[departamento_jerarquia1].[departamento_jerarquia1]" caption="departamento_jerarquia1" numFmtId="0" hierarchy="37" level="1">
      <sharedItems containsSemiMixedTypes="0" containsNonDate="0" containsString="0"/>
    </cacheField>
    <cacheField name="[IF].[mes].[mes]" caption="mes" numFmtId="0" hierarchy="28" level="1">
      <sharedItems containsSemiMixedTypes="0" containsString="0" containsNumber="1" containsInteger="1" minValue="1" maxValue="12" count="7">
        <n v="12"/>
        <n v="1"/>
        <n v="2"/>
        <n v="3"/>
        <n v="4"/>
        <n v="5"/>
        <n v="6"/>
      </sharedItems>
      <extLst>
        <ext xmlns:x15="http://schemas.microsoft.com/office/spreadsheetml/2010/11/main" uri="{4F2E5C28-24EA-4eb8-9CBF-B6C8F9C3D259}">
          <x15:cachedUniqueNames>
            <x15:cachedUniqueName index="0" name="[IF].[mes].&amp;[12]"/>
            <x15:cachedUniqueName index="1" name="[IF].[mes].&amp;[1]"/>
            <x15:cachedUniqueName index="2" name="[IF].[mes].&amp;[2]"/>
            <x15:cachedUniqueName index="3" name="[IF].[mes].&amp;[3]"/>
            <x15:cachedUniqueName index="4" name="[IF].[mes].&amp;[4]"/>
            <x15:cachedUniqueName index="5" name="[IF].[mes].&amp;[5]"/>
            <x15:cachedUniqueName index="6" name="[IF].[mes].&amp;[6]"/>
          </x15:cachedUniqueNames>
        </ext>
      </extLst>
    </cacheField>
    <cacheField name="[IF].[ano].[ano]" caption="ano" numFmtId="0" hierarchy="27" level="1">
      <sharedItems containsSemiMixedTypes="0" containsString="0" containsNumber="1" containsInteger="1" minValue="2018" maxValue="2021" count="3">
        <n v="2018"/>
        <n v="2019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IF].[ano].&amp;[2018]"/>
            <x15:cachedUniqueName index="1" name="[IF].[ano].&amp;[2019]"/>
            <x15:cachedUniqueName index="2" name="[IF].[ano].&amp;[2021]"/>
          </x15:cachedUniqueNames>
        </ext>
      </extLst>
    </cacheField>
    <cacheField name="[IF].[informacion].[informacion]" caption="informacion" numFmtId="0" hierarchy="34" level="1">
      <sharedItems count="2">
        <s v="EJECUCION"/>
        <s v="PRESUPUESTO"/>
      </sharedItems>
    </cacheField>
    <cacheField name="[Measures].[Suma de valor]" caption="Suma de valor" numFmtId="0" hierarchy="92" level="32767"/>
    <cacheField name="[IF].[tipo_departamento].[tipo_departamento]" caption="tipo_departamento" numFmtId="0" hierarchy="52" level="1">
      <sharedItems containsSemiMixedTypes="0" containsNonDate="0" containsString="0"/>
    </cacheField>
    <cacheField name="[IF].[departamento_hijo].[departamento_hijo]" caption="departamento_hijo" numFmtId="0" hierarchy="36" level="1">
      <sharedItems count="4">
        <s v="101"/>
        <s v="1133"/>
        <s v="660"/>
        <s v="748"/>
      </sharedItems>
    </cacheField>
    <cacheField name="[IF].[grupo_analisis].[grupo_analisis]" caption="grupo_analisis" numFmtId="0" hierarchy="32" level="1">
      <sharedItems count="13">
        <s v="BECAS Y DESCUENTOS"/>
        <s v="EDUCACION CONTINUA"/>
        <s v="GASTOS GENERALES"/>
        <s v="GASTOS INTERNOS"/>
        <s v="IMPUESTOS"/>
        <s v="INGRESOS INTERNOS"/>
        <s v="INGRESOS NO OPER."/>
        <s v="HONORARIOS Y SERVICIOS"/>
        <s v="SERVICIOS ESTUDIANTILES"/>
        <s v="OTROS DERECHOS"/>
        <s v="GASTOS DE PERSONAL"/>
        <s v="OTROS INGRESOS"/>
        <s v="SERVICIOS ACADEMIA"/>
      </sharedItems>
    </cacheField>
  </cacheFields>
  <cacheHierarchies count="99">
    <cacheHierarchy uniqueName="[A2020].[ano]" caption="ano" attribute="1" defaultMemberUniqueName="[A2020].[ano].[All]" allUniqueName="[A2020].[ano].[All]" dimensionUniqueName="[A2020]" displayFolder="" count="0" memberValueDatatype="20" unbalanced="0"/>
    <cacheHierarchy uniqueName="[A2020].[mes]" caption="mes" attribute="1" defaultMemberUniqueName="[A2020].[mes].[All]" allUniqueName="[A2020].[mes].[All]" dimensionUniqueName="[A2020]" displayFolder="" count="0" memberValueDatatype="20" unbalanced="0"/>
    <cacheHierarchy uniqueName="[A2020].[cuenta_ppto]" caption="cuenta_ppto" attribute="1" defaultMemberUniqueName="[A2020].[cuenta_ppto].[All]" allUniqueName="[A2020].[cuenta_ppto].[All]" dimensionUniqueName="[A2020]" displayFolder="" count="0" memberValueDatatype="130" unbalanced="0"/>
    <cacheHierarchy uniqueName="[A2020].[nombre_cuenta]" caption="nombre_cuenta" attribute="1" defaultMemberUniqueName="[A2020].[nombre_cuenta].[All]" allUniqueName="[A2020].[nombre_cuenta].[All]" dimensionUniqueName="[A2020]" displayFolder="" count="0" memberValueDatatype="130" unbalanced="0"/>
    <cacheHierarchy uniqueName="[A2020].[grupo_cuenta]" caption="grupo_cuenta" attribute="1" defaultMemberUniqueName="[A2020].[grupo_cuenta].[All]" allUniqueName="[A2020].[grupo_cuenta].[All]" dimensionUniqueName="[A2020]" displayFolder="" count="0" memberValueDatatype="130" unbalanced="0"/>
    <cacheHierarchy uniqueName="[A2020].[grupo_analisis]" caption="grupo_analisis" attribute="1" defaultMemberUniqueName="[A2020].[grupo_analisis].[All]" allUniqueName="[A2020].[grupo_analisis].[All]" dimensionUniqueName="[A2020]" displayFolder="" count="0" memberValueDatatype="130" unbalanced="0"/>
    <cacheHierarchy uniqueName="[A2020].[valor]" caption="valor" attribute="1" defaultMemberUniqueName="[A2020].[valor].[All]" allUniqueName="[A2020].[valor].[All]" dimensionUniqueName="[A2020]" displayFolder="" count="0" memberValueDatatype="5" unbalanced="0"/>
    <cacheHierarchy uniqueName="[A2020].[informacion]" caption="informacion" attribute="1" defaultMemberUniqueName="[A2020].[informacion].[All]" allUniqueName="[A2020].[informacion].[All]" dimensionUniqueName="[A2020]" displayFolder="" count="0" memberValueDatatype="130" unbalanced="0"/>
    <cacheHierarchy uniqueName="[A2020].[departamento_padre]" caption="departamento_padre" attribute="1" defaultMemberUniqueName="[A2020].[departamento_padre].[All]" allUniqueName="[A2020].[departamento_padre].[All]" dimensionUniqueName="[A2020]" displayFolder="" count="0" memberValueDatatype="130" unbalanced="0"/>
    <cacheHierarchy uniqueName="[A2020].[departamento_hijo]" caption="departamento_hijo" attribute="1" defaultMemberUniqueName="[A2020].[departamento_hijo].[All]" allUniqueName="[A2020].[departamento_hijo].[All]" dimensionUniqueName="[A2020]" displayFolder="" count="0" memberValueDatatype="130" unbalanced="0"/>
    <cacheHierarchy uniqueName="[A2020].[departamento_jerarquia1]" caption="departamento_jerarquia1" attribute="1" defaultMemberUniqueName="[A2020].[departamento_jerarquia1].[All]" allUniqueName="[A2020].[departamento_jerarquia1].[All]" dimensionUniqueName="[A2020]" displayFolder="" count="0" memberValueDatatype="130" unbalanced="0"/>
    <cacheHierarchy uniqueName="[A2020].[departamento_jerarquia2]" caption="departamento_jerarquia2" attribute="1" defaultMemberUniqueName="[A2020].[departamento_jerarquia2].[All]" allUniqueName="[A2020].[departamento_jerarquia2].[All]" dimensionUniqueName="[A2020]" displayFolder="" count="0" memberValueDatatype="130" unbalanced="0"/>
    <cacheHierarchy uniqueName="[A2020].[nombre_departamento_padre]" caption="nombre_departamento_padre" attribute="1" defaultMemberUniqueName="[A2020].[nombre_departamento_padre].[All]" allUniqueName="[A2020].[nombre_departamento_padre].[All]" dimensionUniqueName="[A2020]" displayFolder="" count="0" memberValueDatatype="130" unbalanced="0"/>
    <cacheHierarchy uniqueName="[A2020].[numero_nivel]" caption="numero_nivel" attribute="1" defaultMemberUniqueName="[A2020].[numero_nivel].[All]" allUniqueName="[A2020].[numero_nivel].[All]" dimensionUniqueName="[A2020]" displayFolder="" count="0" memberValueDatatype="20" unbalanced="0"/>
    <cacheHierarchy uniqueName="[A2020].[nombre_departamento_hijo]" caption="nombre_departamento_hijo" attribute="1" defaultMemberUniqueName="[A2020].[nombre_departamento_hijo].[All]" allUniqueName="[A2020].[nombre_departamento_hijo].[All]" dimensionUniqueName="[A2020]" displayFolder="" count="0" memberValueDatatype="130" unbalanced="0"/>
    <cacheHierarchy uniqueName="[A2020].[proyecto]" caption="proyecto" attribute="1" defaultMemberUniqueName="[A2020].[proyecto].[All]" allUniqueName="[A2020].[proyecto].[All]" dimensionUniqueName="[A2020]" displayFolder="" count="0" memberValueDatatype="130" unbalanced="0"/>
    <cacheHierarchy uniqueName="[A2020].[grupo_jerarquia]" caption="grupo_jerarquia" attribute="1" defaultMemberUniqueName="[A2020].[grupo_jerarquia].[All]" allUniqueName="[A2020].[grupo_jerarquia].[All]" dimensionUniqueName="[A2020]" displayFolder="" count="0" memberValueDatatype="130" unbalanced="0"/>
    <cacheHierarchy uniqueName="[A2020].[nombre_grupo_jerarquia]" caption="nombre_grupo_jerarquia" attribute="1" defaultMemberUniqueName="[A2020].[nombre_grupo_jerarquia].[All]" allUniqueName="[A2020].[nombre_grupo_jerarquia].[All]" dimensionUniqueName="[A2020]" displayFolder="" count="0" memberValueDatatype="130" unbalanced="0"/>
    <cacheHierarchy uniqueName="[A2020].[tipo_cuenta]" caption="tipo_cuenta" attribute="1" defaultMemberUniqueName="[A2020].[tipo_cuenta].[All]" allUniqueName="[A2020].[tipo_cuenta].[All]" dimensionUniqueName="[A2020]" displayFolder="" count="0" memberValueDatatype="130" unbalanced="0"/>
    <cacheHierarchy uniqueName="[A2020].[nombre_tipo_cuenta]" caption="nombre_tipo_cuenta" attribute="1" defaultMemberUniqueName="[A2020].[nombre_tipo_cuenta].[All]" allUniqueName="[A2020].[nombre_tipo_cuenta].[All]" dimensionUniqueName="[A2020]" displayFolder="" count="0" memberValueDatatype="130" unbalanced="0"/>
    <cacheHierarchy uniqueName="[A2020].[tipo_unidad]" caption="tipo_unidad" attribute="1" defaultMemberUniqueName="[A2020].[tipo_unidad].[All]" allUniqueName="[A2020].[tipo_unidad].[All]" dimensionUniqueName="[A2020]" displayFolder="" count="0" memberValueDatatype="130" unbalanced="0"/>
    <cacheHierarchy uniqueName="[A2020].[nombre_tipo_unidad]" caption="nombre_tipo_unidad" attribute="1" defaultMemberUniqueName="[A2020].[nombre_tipo_unidad].[All]" allUniqueName="[A2020].[nombre_tipo_unidad].[All]" dimensionUniqueName="[A2020]" displayFolder="" count="0" memberValueDatatype="130" unbalanced="0"/>
    <cacheHierarchy uniqueName="[A2020].[tipo_programa]" caption="tipo_programa" attribute="1" defaultMemberUniqueName="[A2020].[tipo_programa].[All]" allUniqueName="[A2020].[tipo_programa].[All]" dimensionUniqueName="[A2020]" displayFolder="" count="0" memberValueDatatype="130" unbalanced="0"/>
    <cacheHierarchy uniqueName="[A2020].[nombre_tipo_programa]" caption="nombre_tipo_programa" attribute="1" defaultMemberUniqueName="[A2020].[nombre_tipo_programa].[All]" allUniqueName="[A2020].[nombre_tipo_programa].[All]" dimensionUniqueName="[A2020]" displayFolder="" count="0" memberValueDatatype="130" unbalanced="0"/>
    <cacheHierarchy uniqueName="[A2020].[nombre_metodologia]" caption="nombre_metodologia" attribute="1" defaultMemberUniqueName="[A2020].[nombre_metodologia].[All]" allUniqueName="[A2020].[nombre_metodologia].[All]" dimensionUniqueName="[A2020]" displayFolder="" count="0" memberValueDatatype="130" unbalanced="0"/>
    <cacheHierarchy uniqueName="[A2020].[tipo_departamento]" caption="tipo_departamento" attribute="1" defaultMemberUniqueName="[A2020].[tipo_departamento].[All]" allUniqueName="[A2020].[tipo_departamento].[All]" dimensionUniqueName="[A2020]" displayFolder="" count="0" memberValueDatatype="130" unbalanced="0"/>
    <cacheHierarchy uniqueName="[A2020].[horizonte]" caption="horizonte" attribute="1" defaultMemberUniqueName="[A2020].[horizonte].[All]" allUniqueName="[A2020].[horizonte].[All]" dimensionUniqueName="[A2020]" displayFolder="" count="0" memberValueDatatype="130" unbalanced="0"/>
    <cacheHierarchy uniqueName="[IF].[ano]" caption="ano" attribute="1" defaultMemberUniqueName="[IF].[ano].[All]" allUniqueName="[IF].[ano].[All]" dimensionUniqueName="[IF]" displayFolder="" count="2" memberValueDatatype="20" unbalanced="0">
      <fieldsUsage count="2">
        <fieldUsage x="-1"/>
        <fieldUsage x="2"/>
      </fieldsUsage>
    </cacheHierarchy>
    <cacheHierarchy uniqueName="[IF].[mes]" caption="mes" attribute="1" defaultMemberUniqueName="[IF].[mes].[All]" allUniqueName="[IF].[mes].[All]" dimensionUniqueName="[IF]" displayFolder="" count="2" memberValueDatatype="20" unbalanced="0">
      <fieldsUsage count="2">
        <fieldUsage x="-1"/>
        <fieldUsage x="1"/>
      </fieldsUsage>
    </cacheHierarchy>
    <cacheHierarchy uniqueName="[IF].[cuenta_ppto]" caption="cuenta_ppto" attribute="1" defaultMemberUniqueName="[IF].[cuenta_ppto].[All]" allUniqueName="[IF].[cuenta_ppto].[All]" dimensionUniqueName="[IF]" displayFolder="" count="0" memberValueDatatype="130" unbalanced="0"/>
    <cacheHierarchy uniqueName="[IF].[nombre_cuenta]" caption="nombre_cuenta" attribute="1" defaultMemberUniqueName="[IF].[nombre_cuenta].[All]" allUniqueName="[IF].[nombre_cuenta].[All]" dimensionUniqueName="[IF]" displayFolder="" count="0" memberValueDatatype="130" unbalanced="0"/>
    <cacheHierarchy uniqueName="[IF].[grupo_cuenta]" caption="grupo_cuenta" attribute="1" defaultMemberUniqueName="[IF].[grupo_cuenta].[All]" allUniqueName="[IF].[grupo_cuenta].[All]" dimensionUniqueName="[IF]" displayFolder="" count="0" memberValueDatatype="130" unbalanced="0"/>
    <cacheHierarchy uniqueName="[IF].[grupo_analisis]" caption="grupo_analisis" attribute="1" defaultMemberUniqueName="[IF].[grupo_analisis].[All]" allUniqueName="[IF].[grupo_analisis].[All]" dimensionUniqueName="[IF]" displayFolder="" count="2" memberValueDatatype="130" unbalanced="0">
      <fieldsUsage count="2">
        <fieldUsage x="-1"/>
        <fieldUsage x="7"/>
      </fieldsUsage>
    </cacheHierarchy>
    <cacheHierarchy uniqueName="[IF].[valor]" caption="valor" attribute="1" defaultMemberUniqueName="[IF].[valor].[All]" allUniqueName="[IF].[valor].[All]" dimensionUniqueName="[IF]" displayFolder="" count="0" memberValueDatatype="5" unbalanced="0"/>
    <cacheHierarchy uniqueName="[IF].[informacion]" caption="informacion" attribute="1" defaultMemberUniqueName="[IF].[informacion].[All]" allUniqueName="[IF].[informacion].[All]" dimensionUniqueName="[IF]" displayFolder="" count="2" memberValueDatatype="130" unbalanced="0">
      <fieldsUsage count="2">
        <fieldUsage x="-1"/>
        <fieldUsage x="3"/>
      </fieldsUsage>
    </cacheHierarchy>
    <cacheHierarchy uniqueName="[IF].[departamento_padre]" caption="departamento_padre" attribute="1" defaultMemberUniqueName="[IF].[departamento_padre].[All]" allUniqueName="[IF].[departamento_padre].[All]" dimensionUniqueName="[IF]" displayFolder="" count="0" memberValueDatatype="130" unbalanced="0"/>
    <cacheHierarchy uniqueName="[IF].[departamento_hijo]" caption="departamento_hijo" attribute="1" defaultMemberUniqueName="[IF].[departamento_hijo].[All]" allUniqueName="[IF].[departamento_hijo].[All]" dimensionUniqueName="[IF]" displayFolder="" count="2" memberValueDatatype="130" unbalanced="0">
      <fieldsUsage count="2">
        <fieldUsage x="-1"/>
        <fieldUsage x="6"/>
      </fieldsUsage>
    </cacheHierarchy>
    <cacheHierarchy uniqueName="[IF].[departamento_jerarquia1]" caption="departamento_jerarquia1" attribute="1" defaultMemberUniqueName="[IF].[departamento_jerarquia1].[All]" allUniqueName="[IF].[departamento_jerarquia1].[All]" dimensionUniqueName="[IF]" displayFolder="" count="2" memberValueDatatype="130" unbalanced="0">
      <fieldsUsage count="2">
        <fieldUsage x="-1"/>
        <fieldUsage x="0"/>
      </fieldsUsage>
    </cacheHierarchy>
    <cacheHierarchy uniqueName="[IF].[departamento_jerarquia2]" caption="departamento_jerarquia2" attribute="1" defaultMemberUniqueName="[IF].[departamento_jerarquia2].[All]" allUniqueName="[IF].[departamento_jerarquia2].[All]" dimensionUniqueName="[IF]" displayFolder="" count="0" memberValueDatatype="130" unbalanced="0"/>
    <cacheHierarchy uniqueName="[IF].[nombre_departamento_padre]" caption="nombre_departamento_padre" attribute="1" defaultMemberUniqueName="[IF].[nombre_departamento_padre].[All]" allUniqueName="[IF].[nombre_departamento_padre].[All]" dimensionUniqueName="[IF]" displayFolder="" count="0" memberValueDatatype="130" unbalanced="0"/>
    <cacheHierarchy uniqueName="[IF].[numero_nivel]" caption="numero_nivel" attribute="1" defaultMemberUniqueName="[IF].[numero_nivel].[All]" allUniqueName="[IF].[numero_nivel].[All]" dimensionUniqueName="[IF]" displayFolder="" count="0" memberValueDatatype="20" unbalanced="0"/>
    <cacheHierarchy uniqueName="[IF].[nombre_departamento_hijo]" caption="nombre_departamento_hijo" attribute="1" defaultMemberUniqueName="[IF].[nombre_departamento_hijo].[All]" allUniqueName="[IF].[nombre_departamento_hijo].[All]" dimensionUniqueName="[IF]" displayFolder="" count="0" memberValueDatatype="130" unbalanced="0"/>
    <cacheHierarchy uniqueName="[IF].[proyecto]" caption="proyecto" attribute="1" defaultMemberUniqueName="[IF].[proyecto].[All]" allUniqueName="[IF].[proyecto].[All]" dimensionUniqueName="[IF]" displayFolder="" count="0" memberValueDatatype="130" unbalanced="0"/>
    <cacheHierarchy uniqueName="[IF].[grupo_jerarquia]" caption="grupo_jerarquia" attribute="1" defaultMemberUniqueName="[IF].[grupo_jerarquia].[All]" allUniqueName="[IF].[grupo_jerarquia].[All]" dimensionUniqueName="[IF]" displayFolder="" count="0" memberValueDatatype="130" unbalanced="0"/>
    <cacheHierarchy uniqueName="[IF].[nombre_grupo_jerarquia]" caption="nombre_grupo_jerarquia" attribute="1" defaultMemberUniqueName="[IF].[nombre_grupo_jerarquia].[All]" allUniqueName="[IF].[nombre_grupo_jerarquia].[All]" dimensionUniqueName="[IF]" displayFolder="" count="0" memberValueDatatype="130" unbalanced="0"/>
    <cacheHierarchy uniqueName="[IF].[tipo_cuenta]" caption="tipo_cuenta" attribute="1" defaultMemberUniqueName="[IF].[tipo_cuenta].[All]" allUniqueName="[IF].[tipo_cuenta].[All]" dimensionUniqueName="[IF]" displayFolder="" count="0" memberValueDatatype="130" unbalanced="0"/>
    <cacheHierarchy uniqueName="[IF].[nombre_tipo_cuenta]" caption="nombre_tipo_cuenta" attribute="1" defaultMemberUniqueName="[IF].[nombre_tipo_cuenta].[All]" allUniqueName="[IF].[nombre_tipo_cuenta].[All]" dimensionUniqueName="[IF]" displayFolder="" count="0" memberValueDatatype="130" unbalanced="0"/>
    <cacheHierarchy uniqueName="[IF].[tipo_unidad]" caption="tipo_unidad" attribute="1" defaultMemberUniqueName="[IF].[tipo_unidad].[All]" allUniqueName="[IF].[tipo_unidad].[All]" dimensionUniqueName="[IF]" displayFolder="" count="0" memberValueDatatype="130" unbalanced="0"/>
    <cacheHierarchy uniqueName="[IF].[nombre_tipo_unidad]" caption="nombre_tipo_unidad" attribute="1" defaultMemberUniqueName="[IF].[nombre_tipo_unidad].[All]" allUniqueName="[IF].[nombre_tipo_unidad].[All]" dimensionUniqueName="[IF]" displayFolder="" count="0" memberValueDatatype="130" unbalanced="0"/>
    <cacheHierarchy uniqueName="[IF].[tipo_programa]" caption="tipo_programa" attribute="1" defaultMemberUniqueName="[IF].[tipo_programa].[All]" allUniqueName="[IF].[tipo_programa].[All]" dimensionUniqueName="[IF]" displayFolder="" count="0" memberValueDatatype="130" unbalanced="0"/>
    <cacheHierarchy uniqueName="[IF].[nombre_tipo_programa]" caption="nombre_tipo_programa" attribute="1" defaultMemberUniqueName="[IF].[nombre_tipo_programa].[All]" allUniqueName="[IF].[nombre_tipo_programa].[All]" dimensionUniqueName="[IF]" displayFolder="" count="0" memberValueDatatype="130" unbalanced="0"/>
    <cacheHierarchy uniqueName="[IF].[nombre_metodologia]" caption="nombre_metodologia" attribute="1" defaultMemberUniqueName="[IF].[nombre_metodologia].[All]" allUniqueName="[IF].[nombre_metodologia].[All]" dimensionUniqueName="[IF]" displayFolder="" count="0" memberValueDatatype="130" unbalanced="0"/>
    <cacheHierarchy uniqueName="[IF].[tipo_departamento]" caption="tipo_departamento" attribute="1" defaultMemberUniqueName="[IF].[tipo_departamento].[All]" allUniqueName="[IF].[tipo_departamento].[All]" dimensionUniqueName="[IF]" displayFolder="" count="2" memberValueDatatype="130" unbalanced="0">
      <fieldsUsage count="2">
        <fieldUsage x="-1"/>
        <fieldUsage x="5"/>
      </fieldsUsage>
    </cacheHierarchy>
    <cacheHierarchy uniqueName="[IF].[horizonte]" caption="horizonte" attribute="1" defaultMemberUniqueName="[IF].[horizonte].[All]" allUniqueName="[IF].[horizonte].[All]" dimensionUniqueName="[IF]" displayFolder="" count="0" memberValueDatatype="130" unbalanced="0"/>
    <cacheHierarchy uniqueName="[poblacion_postgrado].[ano]" caption="ano" attribute="1" defaultMemberUniqueName="[poblacion_postgrado].[ano].[All]" allUniqueName="[poblacion_postgrado].[ano].[All]" dimensionUniqueName="[poblacion_postgrado]" displayFolder="" count="0" memberValueDatatype="20" unbalanced="0"/>
    <cacheHierarchy uniqueName="[poblacion_postgrado].[periodo]" caption="periodo" attribute="1" defaultMemberUniqueName="[poblacion_postgrado].[periodo].[All]" allUniqueName="[poblacion_postgrado].[periodo].[All]" dimensionUniqueName="[poblacion_postgrado]" displayFolder="" count="0" memberValueDatatype="130" unbalanced="0"/>
    <cacheHierarchy uniqueName="[poblacion_postgrado].[semestre]" caption="semestre" attribute="1" defaultMemberUniqueName="[poblacion_postgrado].[semestre].[All]" allUniqueName="[poblacion_postgrado].[semestre].[All]" dimensionUniqueName="[poblacion_postgrado]" displayFolder="" count="0" memberValueDatatype="20" unbalanced="0"/>
    <cacheHierarchy uniqueName="[poblacion_postgrado].[fecha]" caption="fecha" attribute="1" defaultMemberUniqueName="[poblacion_postgrado].[fecha].[All]" allUniqueName="[poblacion_postgrado].[fecha].[All]" dimensionUniqueName="[poblacion_postgrado]" displayFolder="" count="0" memberValueDatatype="130" unbalanced="0"/>
    <cacheHierarchy uniqueName="[poblacion_postgrado].[departamento_padre]" caption="departamento_padre" attribute="1" defaultMemberUniqueName="[poblacion_postgrado].[departamento_padre].[All]" allUniqueName="[poblacion_postgrado].[departamento_padre].[All]" dimensionUniqueName="[poblacion_postgrado]" displayFolder="" count="0" memberValueDatatype="130" unbalanced="0"/>
    <cacheHierarchy uniqueName="[poblacion_postgrado].[nombre_departamento_padre]" caption="nombre_departamento_padre" attribute="1" defaultMemberUniqueName="[poblacion_postgrado].[nombre_departamento_padre].[All]" allUniqueName="[poblacion_postgrado].[nombre_departamento_padre].[All]" dimensionUniqueName="[poblacion_postgrado]" displayFolder="" count="0" memberValueDatatype="130" unbalanced="0"/>
    <cacheHierarchy uniqueName="[poblacion_postgrado].[departamento]" caption="departamento" attribute="1" defaultMemberUniqueName="[poblacion_postgrado].[departamento].[All]" allUniqueName="[poblacion_postgrado].[departamento].[All]" dimensionUniqueName="[poblacion_postgrado]" displayFolder="" count="0" memberValueDatatype="130" unbalanced="0"/>
    <cacheHierarchy uniqueName="[poblacion_postgrado].[nombre_departamento_hijo]" caption="nombre_departamento_hijo" attribute="1" defaultMemberUniqueName="[poblacion_postgrado].[nombre_departamento_hijo].[All]" allUniqueName="[poblacion_postgrado].[nombre_departamento_hijo].[All]" dimensionUniqueName="[poblacion_postgrado]" displayFolder="" count="0" memberValueDatatype="130" unbalanced="0"/>
    <cacheHierarchy uniqueName="[poblacion_postgrado].[tipo_programa]" caption="tipo_programa" attribute="1" defaultMemberUniqueName="[poblacion_postgrado].[tipo_programa].[All]" allUniqueName="[poblacion_postgrado].[tipo_programa].[All]" dimensionUniqueName="[poblacion_postgrado]" displayFolder="" count="0" memberValueDatatype="130" unbalanced="0"/>
    <cacheHierarchy uniqueName="[poblacion_postgrado].[nombre_tipo_programa]" caption="nombre_tipo_programa" attribute="1" defaultMemberUniqueName="[poblacion_postgrado].[nombre_tipo_programa].[All]" allUniqueName="[poblacion_postgrado].[nombre_tipo_programa].[All]" dimensionUniqueName="[poblacion_postgrado]" displayFolder="" count="0" memberValueDatatype="130" unbalanced="0"/>
    <cacheHierarchy uniqueName="[poblacion_postgrado].[nombre_metodologia]" caption="nombre_metodologia" attribute="1" defaultMemberUniqueName="[poblacion_postgrado].[nombre_metodologia].[All]" allUniqueName="[poblacion_postgrado].[nombre_metodologia].[All]" dimensionUniqueName="[poblacion_postgrado]" displayFolder="" count="0" memberValueDatatype="130" unbalanced="0"/>
    <cacheHierarchy uniqueName="[poblacion_postgrado].[ppto_nuevos]" caption="ppto_nuevos" attribute="1" defaultMemberUniqueName="[poblacion_postgrado].[ppto_nuevos].[All]" allUniqueName="[poblacion_postgrado].[ppto_nuevos].[All]" dimensionUniqueName="[poblacion_postgrado]" displayFolder="" count="0" memberValueDatatype="20" unbalanced="0"/>
    <cacheHierarchy uniqueName="[poblacion_postgrado].[ppto_antiguos]" caption="ppto_antiguos" attribute="1" defaultMemberUniqueName="[poblacion_postgrado].[ppto_antiguos].[All]" allUniqueName="[poblacion_postgrado].[ppto_antiguos].[All]" dimensionUniqueName="[poblacion_postgrado]" displayFolder="" count="0" memberValueDatatype="20" unbalanced="0"/>
    <cacheHierarchy uniqueName="[poblacion_postgrado].[real_nuevos]" caption="real_nuevos" attribute="1" defaultMemberUniqueName="[poblacion_postgrado].[real_nuevos].[All]" allUniqueName="[poblacion_postgrado].[real_nuevos].[All]" dimensionUniqueName="[poblacion_postgrado]" displayFolder="" count="0" memberValueDatatype="20" unbalanced="0"/>
    <cacheHierarchy uniqueName="[poblacion_postgrado].[real_antiguos]" caption="real_antiguos" attribute="1" defaultMemberUniqueName="[poblacion_postgrado].[real_antiguos].[All]" allUniqueName="[poblacion_postgrado].[real_antiguos].[All]" dimensionUniqueName="[poblacion_postgrado]" displayFolder="" count="0" memberValueDatatype="20" unbalanced="0"/>
    <cacheHierarchy uniqueName="[poblacion_postgrado].[ppto]" caption="ppto" attribute="1" defaultMemberUniqueName="[poblacion_postgrado].[ppto].[All]" allUniqueName="[poblacion_postgrado].[ppto].[All]" dimensionUniqueName="[poblacion_postgrado]" displayFolder="" count="0" memberValueDatatype="20" unbalanced="0"/>
    <cacheHierarchy uniqueName="[poblacion_postgrado].[real]" caption="real" attribute="1" defaultMemberUniqueName="[poblacion_postgrado].[real].[All]" allUniqueName="[poblacion_postgrado].[real].[All]" dimensionUniqueName="[poblacion_postgrado]" displayFolder="" count="0" memberValueDatatype="20" unbalanced="0"/>
    <cacheHierarchy uniqueName="[poblacion_postgrado].[diferencia]" caption="diferencia" attribute="1" defaultMemberUniqueName="[poblacion_postgrado].[diferencia].[All]" allUniqueName="[poblacion_postgrado].[diferencia].[All]" dimensionUniqueName="[poblacion_postgrado]" displayFolder="" count="0" memberValueDatatype="20" unbalanced="0"/>
    <cacheHierarchy uniqueName="[poblacion_pregrado].[ano]" caption="ano" attribute="1" defaultMemberUniqueName="[poblacion_pregrado].[ano].[All]" allUniqueName="[poblacion_pregrado].[ano].[All]" dimensionUniqueName="[poblacion_pregrado]" displayFolder="" count="0" memberValueDatatype="20" unbalanced="0"/>
    <cacheHierarchy uniqueName="[poblacion_pregrado].[periodo]" caption="periodo" attribute="1" defaultMemberUniqueName="[poblacion_pregrado].[periodo].[All]" allUniqueName="[poblacion_pregrado].[periodo].[All]" dimensionUniqueName="[poblacion_pregrado]" displayFolder="" count="0" memberValueDatatype="130" unbalanced="0"/>
    <cacheHierarchy uniqueName="[poblacion_pregrado].[semestre]" caption="semestre" attribute="1" defaultMemberUniqueName="[poblacion_pregrado].[semestre].[All]" allUniqueName="[poblacion_pregrado].[semestre].[All]" dimensionUniqueName="[poblacion_pregrado]" displayFolder="" count="0" memberValueDatatype="20" unbalanced="0"/>
    <cacheHierarchy uniqueName="[poblacion_pregrado].[departamento_padre]" caption="departamento_padre" attribute="1" defaultMemberUniqueName="[poblacion_pregrado].[departamento_padre].[All]" allUniqueName="[poblacion_pregrado].[departamento_padre].[All]" dimensionUniqueName="[poblacion_pregrado]" displayFolder="" count="0" memberValueDatatype="130" unbalanced="0"/>
    <cacheHierarchy uniqueName="[poblacion_pregrado].[nombre_departamento_padre]" caption="nombre_departamento_padre" attribute="1" defaultMemberUniqueName="[poblacion_pregrado].[nombre_departamento_padre].[All]" allUniqueName="[poblacion_pregrado].[nombre_departamento_padre].[All]" dimensionUniqueName="[poblacion_pregrado]" displayFolder="" count="0" memberValueDatatype="130" unbalanced="0"/>
    <cacheHierarchy uniqueName="[poblacion_pregrado].[departamento]" caption="departamento" attribute="1" defaultMemberUniqueName="[poblacion_pregrado].[departamento].[All]" allUniqueName="[poblacion_pregrado].[departamento].[All]" dimensionUniqueName="[poblacion_pregrado]" displayFolder="" count="0" memberValueDatatype="130" unbalanced="0"/>
    <cacheHierarchy uniqueName="[poblacion_pregrado].[nombre_departamento_hijo]" caption="nombre_departamento_hijo" attribute="1" defaultMemberUniqueName="[poblacion_pregrado].[nombre_departamento_hijo].[All]" allUniqueName="[poblacion_pregrado].[nombre_departamento_hijo].[All]" dimensionUniqueName="[poblacion_pregrado]" displayFolder="" count="0" memberValueDatatype="130" unbalanced="0"/>
    <cacheHierarchy uniqueName="[poblacion_pregrado].[nombre_tipo_estudiante]" caption="nombre_tipo_estudiante" attribute="1" defaultMemberUniqueName="[poblacion_pregrado].[nombre_tipo_estudiante].[All]" allUniqueName="[poblacion_pregrado].[nombre_tipo_estudiante].[All]" dimensionUniqueName="[poblacion_pregrado]" displayFolder="" count="0" memberValueDatatype="130" unbalanced="0"/>
    <cacheHierarchy uniqueName="[poblacion_pregrado].[ppto_nuevos]" caption="ppto_nuevos" attribute="1" defaultMemberUniqueName="[poblacion_pregrado].[ppto_nuevos].[All]" allUniqueName="[poblacion_pregrado].[ppto_nuevos].[All]" dimensionUniqueName="[poblacion_pregrado]" displayFolder="" count="0" memberValueDatatype="5" unbalanced="0"/>
    <cacheHierarchy uniqueName="[poblacion_pregrado].[ppto_antiguos]" caption="ppto_antiguos" attribute="1" defaultMemberUniqueName="[poblacion_pregrado].[ppto_antiguos].[All]" allUniqueName="[poblacion_pregrado].[ppto_antiguos].[All]" dimensionUniqueName="[poblacion_pregrado]" displayFolder="" count="0" memberValueDatatype="5" unbalanced="0"/>
    <cacheHierarchy uniqueName="[poblacion_pregrado].[real_nuevos]" caption="real_nuevos" attribute="1" defaultMemberUniqueName="[poblacion_pregrado].[real_nuevos].[All]" allUniqueName="[poblacion_pregrado].[real_nuevos].[All]" dimensionUniqueName="[poblacion_pregrado]" displayFolder="" count="0" memberValueDatatype="5" unbalanced="0"/>
    <cacheHierarchy uniqueName="[poblacion_pregrado].[real_antiguos]" caption="real_antiguos" attribute="1" defaultMemberUniqueName="[poblacion_pregrado].[real_antiguos].[All]" allUniqueName="[poblacion_pregrado].[real_antiguos].[All]" dimensionUniqueName="[poblacion_pregrado]" displayFolder="" count="0" memberValueDatatype="5" unbalanced="0"/>
    <cacheHierarchy uniqueName="[poblacion_pregrado].[ppto]" caption="ppto" attribute="1" defaultMemberUniqueName="[poblacion_pregrado].[ppto].[All]" allUniqueName="[poblacion_pregrado].[ppto].[All]" dimensionUniqueName="[poblacion_pregrado]" displayFolder="" count="0" memberValueDatatype="5" unbalanced="0"/>
    <cacheHierarchy uniqueName="[poblacion_pregrado].[real]" caption="real" attribute="1" defaultMemberUniqueName="[poblacion_pregrado].[real].[All]" allUniqueName="[poblacion_pregrado].[real].[All]" dimensionUniqueName="[poblacion_pregrado]" displayFolder="" count="0" memberValueDatatype="5" unbalanced="0"/>
    <cacheHierarchy uniqueName="[poblacion_pregrado].[diferencia]" caption="diferencia" attribute="1" defaultMemberUniqueName="[poblacion_pregrado].[diferencia].[All]" allUniqueName="[poblacion_pregrado].[diferencia].[All]" dimensionUniqueName="[poblacion_pregrado]" displayFolder="" count="0" memberValueDatatype="5" unbalanced="0"/>
    <cacheHierarchy uniqueName="[Measures].[__XL_Count A2020]" caption="__XL_Count A2020" measure="1" displayFolder="" measureGroup="A2020" count="0" hidden="1"/>
    <cacheHierarchy uniqueName="[Measures].[__XL_Count IF]" caption="__XL_Count IF" measure="1" displayFolder="" measureGroup="IF" count="0" hidden="1"/>
    <cacheHierarchy uniqueName="[Measures].[__XL_Count poblacion_pregrado]" caption="__XL_Count poblacion_pregrado" measure="1" displayFolder="" measureGroup="poblacion_pregrado" count="0" hidden="1"/>
    <cacheHierarchy uniqueName="[Measures].[__XL_Count poblacion_postgrado]" caption="__XL_Count poblacion_postgrado" measure="1" displayFolder="" measureGroup="poblacion_postgrado" count="0" hidden="1"/>
    <cacheHierarchy uniqueName="[Measures].[__No measures defined]" caption="__No measures defined" measure="1" displayFolder="" count="0" hidden="1"/>
    <cacheHierarchy uniqueName="[Measures].[Suma de valor]" caption="Suma de valor" measure="1" displayFolder="" measureGroup="IF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real]" caption="Suma de real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al_nuevos]" caption="Suma de real_nuev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real_antiguos]" caption="Suma de real_antigu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real 2]" caption="Suma de real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eal_nuevos 2]" caption="Suma de real_nuev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real_antiguos 2]" caption="Suma de real_antigu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</cacheHierarchies>
  <kpis count="0"/>
  <dimensions count="5">
    <dimension name="A2020" uniqueName="[A2020]" caption="A2020"/>
    <dimension name="IF" uniqueName="[IF]" caption="IF"/>
    <dimension measure="1" name="Measures" uniqueName="[Measures]" caption="Measures"/>
    <dimension name="poblacion_postgrado" uniqueName="[poblacion_postgrado]" caption="poblacion_postgrado"/>
    <dimension name="poblacion_pregrado" uniqueName="[poblacion_pregrado]" caption="poblacion_pregrado"/>
  </dimensions>
  <measureGroups count="4">
    <measureGroup name="A2020" caption="A2020"/>
    <measureGroup name="IF" caption="IF"/>
    <measureGroup name="poblacion_postgrado" caption="poblacion_postgrado"/>
    <measureGroup name="poblacion_pregrado" caption="poblacion_pregrado"/>
  </measureGroups>
  <maps count="4">
    <map measureGroup="0" dimension="0"/>
    <map measureGroup="1" dimension="1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los Alberto Ceballos Gutierrez" refreshedDate="44383.602633449074" createdVersion="5" refreshedVersion="7" minRefreshableVersion="3" recordCount="0" supportSubquery="1" supportAdvancedDrill="1" xr:uid="{71BB2041-89D0-491E-A38C-3402E232F473}">
  <cacheSource type="external" connectionId="8"/>
  <cacheFields count="8">
    <cacheField name="[IF].[departamento_jerarquia1].[departamento_jerarquia1]" caption="departamento_jerarquia1" numFmtId="0" hierarchy="37" level="1">
      <sharedItems containsSemiMixedTypes="0" containsNonDate="0" containsString="0"/>
    </cacheField>
    <cacheField name="[IF].[departamento_jerarquia2].[departamento_jerarquia2]" caption="departamento_jerarquia2" numFmtId="0" hierarchy="38" level="1">
      <sharedItems containsSemiMixedTypes="0" containsNonDate="0" containsString="0"/>
    </cacheField>
    <cacheField name="[IF].[grupo_analisis].[grupo_analisis]" caption="grupo_analisis" numFmtId="0" hierarchy="32" level="1">
      <sharedItems count="16">
        <s v="BECAS Y DESCUENTOS"/>
        <s v="GASTOS DE PERSONAL"/>
        <s v="GASTOS DE VIAJE"/>
        <s v="GASTOS FINANCIEROS"/>
        <s v="GASTOS GENERALES"/>
        <s v="GASTOS INTERNOS"/>
        <s v="HONORARIOS Y SERVICIOS"/>
        <s v="IMPUESTOS"/>
        <s v="INGRESOS FINANCIEROS"/>
        <s v="INGRESOS INTERNOS"/>
        <s v="INGRESOS NO OPER."/>
        <s v="MANTENIMIENTO"/>
        <s v="OTROS DERECHOS"/>
        <s v="POSTGRADO"/>
        <s v="SERVICIOS ACADEMIA"/>
        <s v="SERVICIOS ESTUDIANTILES"/>
      </sharedItems>
    </cacheField>
    <cacheField name="[IF].[mes].[mes]" caption="mes" numFmtId="0" hierarchy="28" level="1">
      <sharedItems containsSemiMixedTypes="0" containsString="0" containsNumber="1" containsInteger="1" minValue="1" maxValue="12" count="7">
        <n v="1"/>
        <n v="2"/>
        <n v="3"/>
        <n v="4"/>
        <n v="5"/>
        <n v="6"/>
        <n v="12"/>
      </sharedItems>
      <extLst>
        <ext xmlns:x15="http://schemas.microsoft.com/office/spreadsheetml/2010/11/main" uri="{4F2E5C28-24EA-4eb8-9CBF-B6C8F9C3D259}">
          <x15:cachedUniqueNames>
            <x15:cachedUniqueName index="0" name="[IF].[mes].&amp;[1]"/>
            <x15:cachedUniqueName index="1" name="[IF].[mes].&amp;[2]"/>
            <x15:cachedUniqueName index="2" name="[IF].[mes].&amp;[3]"/>
            <x15:cachedUniqueName index="3" name="[IF].[mes].&amp;[4]"/>
            <x15:cachedUniqueName index="4" name="[IF].[mes].&amp;[5]"/>
            <x15:cachedUniqueName index="5" name="[IF].[mes].&amp;[6]"/>
            <x15:cachedUniqueName index="6" name="[IF].[mes].&amp;[12]"/>
          </x15:cachedUniqueNames>
        </ext>
      </extLst>
    </cacheField>
    <cacheField name="[IF].[ano].[ano]" caption="ano" numFmtId="0" hierarchy="27" level="1">
      <sharedItems containsSemiMixedTypes="0" containsString="0" containsNumber="1" containsInteger="1" minValue="2018" maxValue="2021" count="4"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IF].[ano].&amp;[2018]"/>
            <x15:cachedUniqueName index="1" name="[IF].[ano].&amp;[2019]"/>
            <x15:cachedUniqueName index="2" name="[IF].[ano].&amp;[2020]"/>
            <x15:cachedUniqueName index="3" name="[IF].[ano].&amp;[2021]"/>
          </x15:cachedUniqueNames>
        </ext>
      </extLst>
    </cacheField>
    <cacheField name="[IF].[informacion].[informacion]" caption="informacion" numFmtId="0" hierarchy="34" level="1">
      <sharedItems count="2">
        <s v="EJECUCION"/>
        <s v="PRESUPUESTO"/>
      </sharedItems>
    </cacheField>
    <cacheField name="[Measures].[Suma de valor]" caption="Suma de valor" numFmtId="0" hierarchy="92" level="32767"/>
    <cacheField name="[IF].[nombre_metodologia].[nombre_metodologia]" caption="nombre_metodologia" numFmtId="0" hierarchy="51" level="1">
      <sharedItems containsSemiMixedTypes="0" containsNonDate="0" containsString="0"/>
    </cacheField>
  </cacheFields>
  <cacheHierarchies count="99">
    <cacheHierarchy uniqueName="[A2020].[ano]" caption="ano" attribute="1" defaultMemberUniqueName="[A2020].[ano].[All]" allUniqueName="[A2020].[ano].[All]" dimensionUniqueName="[A2020]" displayFolder="" count="0" memberValueDatatype="20" unbalanced="0"/>
    <cacheHierarchy uniqueName="[A2020].[mes]" caption="mes" attribute="1" defaultMemberUniqueName="[A2020].[mes].[All]" allUniqueName="[A2020].[mes].[All]" dimensionUniqueName="[A2020]" displayFolder="" count="0" memberValueDatatype="20" unbalanced="0"/>
    <cacheHierarchy uniqueName="[A2020].[cuenta_ppto]" caption="cuenta_ppto" attribute="1" defaultMemberUniqueName="[A2020].[cuenta_ppto].[All]" allUniqueName="[A2020].[cuenta_ppto].[All]" dimensionUniqueName="[A2020]" displayFolder="" count="0" memberValueDatatype="130" unbalanced="0"/>
    <cacheHierarchy uniqueName="[A2020].[nombre_cuenta]" caption="nombre_cuenta" attribute="1" defaultMemberUniqueName="[A2020].[nombre_cuenta].[All]" allUniqueName="[A2020].[nombre_cuenta].[All]" dimensionUniqueName="[A2020]" displayFolder="" count="0" memberValueDatatype="130" unbalanced="0"/>
    <cacheHierarchy uniqueName="[A2020].[grupo_cuenta]" caption="grupo_cuenta" attribute="1" defaultMemberUniqueName="[A2020].[grupo_cuenta].[All]" allUniqueName="[A2020].[grupo_cuenta].[All]" dimensionUniqueName="[A2020]" displayFolder="" count="0" memberValueDatatype="130" unbalanced="0"/>
    <cacheHierarchy uniqueName="[A2020].[grupo_analisis]" caption="grupo_analisis" attribute="1" defaultMemberUniqueName="[A2020].[grupo_analisis].[All]" allUniqueName="[A2020].[grupo_analisis].[All]" dimensionUniqueName="[A2020]" displayFolder="" count="0" memberValueDatatype="130" unbalanced="0"/>
    <cacheHierarchy uniqueName="[A2020].[valor]" caption="valor" attribute="1" defaultMemberUniqueName="[A2020].[valor].[All]" allUniqueName="[A2020].[valor].[All]" dimensionUniqueName="[A2020]" displayFolder="" count="0" memberValueDatatype="5" unbalanced="0"/>
    <cacheHierarchy uniqueName="[A2020].[informacion]" caption="informacion" attribute="1" defaultMemberUniqueName="[A2020].[informacion].[All]" allUniqueName="[A2020].[informacion].[All]" dimensionUniqueName="[A2020]" displayFolder="" count="0" memberValueDatatype="130" unbalanced="0"/>
    <cacheHierarchy uniqueName="[A2020].[departamento_padre]" caption="departamento_padre" attribute="1" defaultMemberUniqueName="[A2020].[departamento_padre].[All]" allUniqueName="[A2020].[departamento_padre].[All]" dimensionUniqueName="[A2020]" displayFolder="" count="0" memberValueDatatype="130" unbalanced="0"/>
    <cacheHierarchy uniqueName="[A2020].[departamento_hijo]" caption="departamento_hijo" attribute="1" defaultMemberUniqueName="[A2020].[departamento_hijo].[All]" allUniqueName="[A2020].[departamento_hijo].[All]" dimensionUniqueName="[A2020]" displayFolder="" count="0" memberValueDatatype="130" unbalanced="0"/>
    <cacheHierarchy uniqueName="[A2020].[departamento_jerarquia1]" caption="departamento_jerarquia1" attribute="1" defaultMemberUniqueName="[A2020].[departamento_jerarquia1].[All]" allUniqueName="[A2020].[departamento_jerarquia1].[All]" dimensionUniqueName="[A2020]" displayFolder="" count="0" memberValueDatatype="130" unbalanced="0"/>
    <cacheHierarchy uniqueName="[A2020].[departamento_jerarquia2]" caption="departamento_jerarquia2" attribute="1" defaultMemberUniqueName="[A2020].[departamento_jerarquia2].[All]" allUniqueName="[A2020].[departamento_jerarquia2].[All]" dimensionUniqueName="[A2020]" displayFolder="" count="0" memberValueDatatype="130" unbalanced="0"/>
    <cacheHierarchy uniqueName="[A2020].[nombre_departamento_padre]" caption="nombre_departamento_padre" attribute="1" defaultMemberUniqueName="[A2020].[nombre_departamento_padre].[All]" allUniqueName="[A2020].[nombre_departamento_padre].[All]" dimensionUniqueName="[A2020]" displayFolder="" count="0" memberValueDatatype="130" unbalanced="0"/>
    <cacheHierarchy uniqueName="[A2020].[numero_nivel]" caption="numero_nivel" attribute="1" defaultMemberUniqueName="[A2020].[numero_nivel].[All]" allUniqueName="[A2020].[numero_nivel].[All]" dimensionUniqueName="[A2020]" displayFolder="" count="0" memberValueDatatype="20" unbalanced="0"/>
    <cacheHierarchy uniqueName="[A2020].[nombre_departamento_hijo]" caption="nombre_departamento_hijo" attribute="1" defaultMemberUniqueName="[A2020].[nombre_departamento_hijo].[All]" allUniqueName="[A2020].[nombre_departamento_hijo].[All]" dimensionUniqueName="[A2020]" displayFolder="" count="0" memberValueDatatype="130" unbalanced="0"/>
    <cacheHierarchy uniqueName="[A2020].[proyecto]" caption="proyecto" attribute="1" defaultMemberUniqueName="[A2020].[proyecto].[All]" allUniqueName="[A2020].[proyecto].[All]" dimensionUniqueName="[A2020]" displayFolder="" count="0" memberValueDatatype="130" unbalanced="0"/>
    <cacheHierarchy uniqueName="[A2020].[grupo_jerarquia]" caption="grupo_jerarquia" attribute="1" defaultMemberUniqueName="[A2020].[grupo_jerarquia].[All]" allUniqueName="[A2020].[grupo_jerarquia].[All]" dimensionUniqueName="[A2020]" displayFolder="" count="0" memberValueDatatype="130" unbalanced="0"/>
    <cacheHierarchy uniqueName="[A2020].[nombre_grupo_jerarquia]" caption="nombre_grupo_jerarquia" attribute="1" defaultMemberUniqueName="[A2020].[nombre_grupo_jerarquia].[All]" allUniqueName="[A2020].[nombre_grupo_jerarquia].[All]" dimensionUniqueName="[A2020]" displayFolder="" count="0" memberValueDatatype="130" unbalanced="0"/>
    <cacheHierarchy uniqueName="[A2020].[tipo_cuenta]" caption="tipo_cuenta" attribute="1" defaultMemberUniqueName="[A2020].[tipo_cuenta].[All]" allUniqueName="[A2020].[tipo_cuenta].[All]" dimensionUniqueName="[A2020]" displayFolder="" count="0" memberValueDatatype="130" unbalanced="0"/>
    <cacheHierarchy uniqueName="[A2020].[nombre_tipo_cuenta]" caption="nombre_tipo_cuenta" attribute="1" defaultMemberUniqueName="[A2020].[nombre_tipo_cuenta].[All]" allUniqueName="[A2020].[nombre_tipo_cuenta].[All]" dimensionUniqueName="[A2020]" displayFolder="" count="0" memberValueDatatype="130" unbalanced="0"/>
    <cacheHierarchy uniqueName="[A2020].[tipo_unidad]" caption="tipo_unidad" attribute="1" defaultMemberUniqueName="[A2020].[tipo_unidad].[All]" allUniqueName="[A2020].[tipo_unidad].[All]" dimensionUniqueName="[A2020]" displayFolder="" count="0" memberValueDatatype="130" unbalanced="0"/>
    <cacheHierarchy uniqueName="[A2020].[nombre_tipo_unidad]" caption="nombre_tipo_unidad" attribute="1" defaultMemberUniqueName="[A2020].[nombre_tipo_unidad].[All]" allUniqueName="[A2020].[nombre_tipo_unidad].[All]" dimensionUniqueName="[A2020]" displayFolder="" count="0" memberValueDatatype="130" unbalanced="0"/>
    <cacheHierarchy uniqueName="[A2020].[tipo_programa]" caption="tipo_programa" attribute="1" defaultMemberUniqueName="[A2020].[tipo_programa].[All]" allUniqueName="[A2020].[tipo_programa].[All]" dimensionUniqueName="[A2020]" displayFolder="" count="0" memberValueDatatype="130" unbalanced="0"/>
    <cacheHierarchy uniqueName="[A2020].[nombre_tipo_programa]" caption="nombre_tipo_programa" attribute="1" defaultMemberUniqueName="[A2020].[nombre_tipo_programa].[All]" allUniqueName="[A2020].[nombre_tipo_programa].[All]" dimensionUniqueName="[A2020]" displayFolder="" count="0" memberValueDatatype="130" unbalanced="0"/>
    <cacheHierarchy uniqueName="[A2020].[nombre_metodologia]" caption="nombre_metodologia" attribute="1" defaultMemberUniqueName="[A2020].[nombre_metodologia].[All]" allUniqueName="[A2020].[nombre_metodologia].[All]" dimensionUniqueName="[A2020]" displayFolder="" count="0" memberValueDatatype="130" unbalanced="0"/>
    <cacheHierarchy uniqueName="[A2020].[tipo_departamento]" caption="tipo_departamento" attribute="1" defaultMemberUniqueName="[A2020].[tipo_departamento].[All]" allUniqueName="[A2020].[tipo_departamento].[All]" dimensionUniqueName="[A2020]" displayFolder="" count="0" memberValueDatatype="130" unbalanced="0"/>
    <cacheHierarchy uniqueName="[A2020].[horizonte]" caption="horizonte" attribute="1" defaultMemberUniqueName="[A2020].[horizonte].[All]" allUniqueName="[A2020].[horizonte].[All]" dimensionUniqueName="[A2020]" displayFolder="" count="0" memberValueDatatype="130" unbalanced="0"/>
    <cacheHierarchy uniqueName="[IF].[ano]" caption="ano" attribute="1" defaultMemberUniqueName="[IF].[ano].[All]" allUniqueName="[IF].[ano].[All]" dimensionUniqueName="[IF]" displayFolder="" count="2" memberValueDatatype="20" unbalanced="0">
      <fieldsUsage count="2">
        <fieldUsage x="-1"/>
        <fieldUsage x="4"/>
      </fieldsUsage>
    </cacheHierarchy>
    <cacheHierarchy uniqueName="[IF].[mes]" caption="mes" attribute="1" defaultMemberUniqueName="[IF].[mes].[All]" allUniqueName="[IF].[mes].[All]" dimensionUniqueName="[IF]" displayFolder="" count="2" memberValueDatatype="20" unbalanced="0">
      <fieldsUsage count="2">
        <fieldUsage x="-1"/>
        <fieldUsage x="3"/>
      </fieldsUsage>
    </cacheHierarchy>
    <cacheHierarchy uniqueName="[IF].[cuenta_ppto]" caption="cuenta_ppto" attribute="1" defaultMemberUniqueName="[IF].[cuenta_ppto].[All]" allUniqueName="[IF].[cuenta_ppto].[All]" dimensionUniqueName="[IF]" displayFolder="" count="0" memberValueDatatype="130" unbalanced="0"/>
    <cacheHierarchy uniqueName="[IF].[nombre_cuenta]" caption="nombre_cuenta" attribute="1" defaultMemberUniqueName="[IF].[nombre_cuenta].[All]" allUniqueName="[IF].[nombre_cuenta].[All]" dimensionUniqueName="[IF]" displayFolder="" count="0" memberValueDatatype="130" unbalanced="0"/>
    <cacheHierarchy uniqueName="[IF].[grupo_cuenta]" caption="grupo_cuenta" attribute="1" defaultMemberUniqueName="[IF].[grupo_cuenta].[All]" allUniqueName="[IF].[grupo_cuenta].[All]" dimensionUniqueName="[IF]" displayFolder="" count="0" memberValueDatatype="130" unbalanced="0"/>
    <cacheHierarchy uniqueName="[IF].[grupo_analisis]" caption="grupo_analisis" attribute="1" defaultMemberUniqueName="[IF].[grupo_analisis].[All]" allUniqueName="[IF].[grupo_analisis].[All]" dimensionUniqueName="[IF]" displayFolder="" count="2" memberValueDatatype="130" unbalanced="0">
      <fieldsUsage count="2">
        <fieldUsage x="-1"/>
        <fieldUsage x="2"/>
      </fieldsUsage>
    </cacheHierarchy>
    <cacheHierarchy uniqueName="[IF].[valor]" caption="valor" attribute="1" defaultMemberUniqueName="[IF].[valor].[All]" allUniqueName="[IF].[valor].[All]" dimensionUniqueName="[IF]" displayFolder="" count="0" memberValueDatatype="5" unbalanced="0"/>
    <cacheHierarchy uniqueName="[IF].[informacion]" caption="informacion" attribute="1" defaultMemberUniqueName="[IF].[informacion].[All]" allUniqueName="[IF].[informacion].[All]" dimensionUniqueName="[IF]" displayFolder="" count="2" memberValueDatatype="130" unbalanced="0">
      <fieldsUsage count="2">
        <fieldUsage x="-1"/>
        <fieldUsage x="5"/>
      </fieldsUsage>
    </cacheHierarchy>
    <cacheHierarchy uniqueName="[IF].[departamento_padre]" caption="departamento_padre" attribute="1" defaultMemberUniqueName="[IF].[departamento_padre].[All]" allUniqueName="[IF].[departamento_padre].[All]" dimensionUniqueName="[IF]" displayFolder="" count="0" memberValueDatatype="130" unbalanced="0"/>
    <cacheHierarchy uniqueName="[IF].[departamento_hijo]" caption="departamento_hijo" attribute="1" defaultMemberUniqueName="[IF].[departamento_hijo].[All]" allUniqueName="[IF].[departamento_hijo].[All]" dimensionUniqueName="[IF]" displayFolder="" count="0" memberValueDatatype="130" unbalanced="0"/>
    <cacheHierarchy uniqueName="[IF].[departamento_jerarquia1]" caption="departamento_jerarquia1" attribute="1" defaultMemberUniqueName="[IF].[departamento_jerarquia1].[All]" allUniqueName="[IF].[departamento_jerarquia1].[All]" dimensionUniqueName="[IF]" displayFolder="" count="2" memberValueDatatype="130" unbalanced="0">
      <fieldsUsage count="2">
        <fieldUsage x="-1"/>
        <fieldUsage x="0"/>
      </fieldsUsage>
    </cacheHierarchy>
    <cacheHierarchy uniqueName="[IF].[departamento_jerarquia2]" caption="departamento_jerarquia2" attribute="1" defaultMemberUniqueName="[IF].[departamento_jerarquia2].[All]" allUniqueName="[IF].[departamento_jerarquia2].[All]" dimensionUniqueName="[IF]" displayFolder="" count="2" memberValueDatatype="130" unbalanced="0">
      <fieldsUsage count="2">
        <fieldUsage x="-1"/>
        <fieldUsage x="1"/>
      </fieldsUsage>
    </cacheHierarchy>
    <cacheHierarchy uniqueName="[IF].[nombre_departamento_padre]" caption="nombre_departamento_padre" attribute="1" defaultMemberUniqueName="[IF].[nombre_departamento_padre].[All]" allUniqueName="[IF].[nombre_departamento_padre].[All]" dimensionUniqueName="[IF]" displayFolder="" count="0" memberValueDatatype="130" unbalanced="0"/>
    <cacheHierarchy uniqueName="[IF].[numero_nivel]" caption="numero_nivel" attribute="1" defaultMemberUniqueName="[IF].[numero_nivel].[All]" allUniqueName="[IF].[numero_nivel].[All]" dimensionUniqueName="[IF]" displayFolder="" count="0" memberValueDatatype="20" unbalanced="0"/>
    <cacheHierarchy uniqueName="[IF].[nombre_departamento_hijo]" caption="nombre_departamento_hijo" attribute="1" defaultMemberUniqueName="[IF].[nombre_departamento_hijo].[All]" allUniqueName="[IF].[nombre_departamento_hijo].[All]" dimensionUniqueName="[IF]" displayFolder="" count="0" memberValueDatatype="130" unbalanced="0"/>
    <cacheHierarchy uniqueName="[IF].[proyecto]" caption="proyecto" attribute="1" defaultMemberUniqueName="[IF].[proyecto].[All]" allUniqueName="[IF].[proyecto].[All]" dimensionUniqueName="[IF]" displayFolder="" count="0" memberValueDatatype="130" unbalanced="0"/>
    <cacheHierarchy uniqueName="[IF].[grupo_jerarquia]" caption="grupo_jerarquia" attribute="1" defaultMemberUniqueName="[IF].[grupo_jerarquia].[All]" allUniqueName="[IF].[grupo_jerarquia].[All]" dimensionUniqueName="[IF]" displayFolder="" count="0" memberValueDatatype="130" unbalanced="0"/>
    <cacheHierarchy uniqueName="[IF].[nombre_grupo_jerarquia]" caption="nombre_grupo_jerarquia" attribute="1" defaultMemberUniqueName="[IF].[nombre_grupo_jerarquia].[All]" allUniqueName="[IF].[nombre_grupo_jerarquia].[All]" dimensionUniqueName="[IF]" displayFolder="" count="0" memberValueDatatype="130" unbalanced="0"/>
    <cacheHierarchy uniqueName="[IF].[tipo_cuenta]" caption="tipo_cuenta" attribute="1" defaultMemberUniqueName="[IF].[tipo_cuenta].[All]" allUniqueName="[IF].[tipo_cuenta].[All]" dimensionUniqueName="[IF]" displayFolder="" count="0" memberValueDatatype="130" unbalanced="0"/>
    <cacheHierarchy uniqueName="[IF].[nombre_tipo_cuenta]" caption="nombre_tipo_cuenta" attribute="1" defaultMemberUniqueName="[IF].[nombre_tipo_cuenta].[All]" allUniqueName="[IF].[nombre_tipo_cuenta].[All]" dimensionUniqueName="[IF]" displayFolder="" count="0" memberValueDatatype="130" unbalanced="0"/>
    <cacheHierarchy uniqueName="[IF].[tipo_unidad]" caption="tipo_unidad" attribute="1" defaultMemberUniqueName="[IF].[tipo_unidad].[All]" allUniqueName="[IF].[tipo_unidad].[All]" dimensionUniqueName="[IF]" displayFolder="" count="0" memberValueDatatype="130" unbalanced="0"/>
    <cacheHierarchy uniqueName="[IF].[nombre_tipo_unidad]" caption="nombre_tipo_unidad" attribute="1" defaultMemberUniqueName="[IF].[nombre_tipo_unidad].[All]" allUniqueName="[IF].[nombre_tipo_unidad].[All]" dimensionUniqueName="[IF]" displayFolder="" count="0" memberValueDatatype="130" unbalanced="0"/>
    <cacheHierarchy uniqueName="[IF].[tipo_programa]" caption="tipo_programa" attribute="1" defaultMemberUniqueName="[IF].[tipo_programa].[All]" allUniqueName="[IF].[tipo_programa].[All]" dimensionUniqueName="[IF]" displayFolder="" count="0" memberValueDatatype="130" unbalanced="0"/>
    <cacheHierarchy uniqueName="[IF].[nombre_tipo_programa]" caption="nombre_tipo_programa" attribute="1" defaultMemberUniqueName="[IF].[nombre_tipo_programa].[All]" allUniqueName="[IF].[nombre_tipo_programa].[All]" dimensionUniqueName="[IF]" displayFolder="" count="0" memberValueDatatype="130" unbalanced="0"/>
    <cacheHierarchy uniqueName="[IF].[nombre_metodologia]" caption="nombre_metodologia" attribute="1" defaultMemberUniqueName="[IF].[nombre_metodologia].[All]" allUniqueName="[IF].[nombre_metodologia].[All]" dimensionUniqueName="[IF]" displayFolder="" count="2" memberValueDatatype="130" unbalanced="0">
      <fieldsUsage count="2">
        <fieldUsage x="-1"/>
        <fieldUsage x="7"/>
      </fieldsUsage>
    </cacheHierarchy>
    <cacheHierarchy uniqueName="[IF].[tipo_departamento]" caption="tipo_departamento" attribute="1" defaultMemberUniqueName="[IF].[tipo_departamento].[All]" allUniqueName="[IF].[tipo_departamento].[All]" dimensionUniqueName="[IF]" displayFolder="" count="0" memberValueDatatype="130" unbalanced="0"/>
    <cacheHierarchy uniqueName="[IF].[horizonte]" caption="horizonte" attribute="1" defaultMemberUniqueName="[IF].[horizonte].[All]" allUniqueName="[IF].[horizonte].[All]" dimensionUniqueName="[IF]" displayFolder="" count="0" memberValueDatatype="130" unbalanced="0"/>
    <cacheHierarchy uniqueName="[poblacion_postgrado].[ano]" caption="ano" attribute="1" defaultMemberUniqueName="[poblacion_postgrado].[ano].[All]" allUniqueName="[poblacion_postgrado].[ano].[All]" dimensionUniqueName="[poblacion_postgrado]" displayFolder="" count="0" memberValueDatatype="20" unbalanced="0"/>
    <cacheHierarchy uniqueName="[poblacion_postgrado].[periodo]" caption="periodo" attribute="1" defaultMemberUniqueName="[poblacion_postgrado].[periodo].[All]" allUniqueName="[poblacion_postgrado].[periodo].[All]" dimensionUniqueName="[poblacion_postgrado]" displayFolder="" count="0" memberValueDatatype="130" unbalanced="0"/>
    <cacheHierarchy uniqueName="[poblacion_postgrado].[semestre]" caption="semestre" attribute="1" defaultMemberUniqueName="[poblacion_postgrado].[semestre].[All]" allUniqueName="[poblacion_postgrado].[semestre].[All]" dimensionUniqueName="[poblacion_postgrado]" displayFolder="" count="0" memberValueDatatype="20" unbalanced="0"/>
    <cacheHierarchy uniqueName="[poblacion_postgrado].[fecha]" caption="fecha" attribute="1" defaultMemberUniqueName="[poblacion_postgrado].[fecha].[All]" allUniqueName="[poblacion_postgrado].[fecha].[All]" dimensionUniqueName="[poblacion_postgrado]" displayFolder="" count="0" memberValueDatatype="130" unbalanced="0"/>
    <cacheHierarchy uniqueName="[poblacion_postgrado].[departamento_padre]" caption="departamento_padre" attribute="1" defaultMemberUniqueName="[poblacion_postgrado].[departamento_padre].[All]" allUniqueName="[poblacion_postgrado].[departamento_padre].[All]" dimensionUniqueName="[poblacion_postgrado]" displayFolder="" count="0" memberValueDatatype="130" unbalanced="0"/>
    <cacheHierarchy uniqueName="[poblacion_postgrado].[nombre_departamento_padre]" caption="nombre_departamento_padre" attribute="1" defaultMemberUniqueName="[poblacion_postgrado].[nombre_departamento_padre].[All]" allUniqueName="[poblacion_postgrado].[nombre_departamento_padre].[All]" dimensionUniqueName="[poblacion_postgrado]" displayFolder="" count="0" memberValueDatatype="130" unbalanced="0"/>
    <cacheHierarchy uniqueName="[poblacion_postgrado].[departamento]" caption="departamento" attribute="1" defaultMemberUniqueName="[poblacion_postgrado].[departamento].[All]" allUniqueName="[poblacion_postgrado].[departamento].[All]" dimensionUniqueName="[poblacion_postgrado]" displayFolder="" count="0" memberValueDatatype="130" unbalanced="0"/>
    <cacheHierarchy uniqueName="[poblacion_postgrado].[nombre_departamento_hijo]" caption="nombre_departamento_hijo" attribute="1" defaultMemberUniqueName="[poblacion_postgrado].[nombre_departamento_hijo].[All]" allUniqueName="[poblacion_postgrado].[nombre_departamento_hijo].[All]" dimensionUniqueName="[poblacion_postgrado]" displayFolder="" count="0" memberValueDatatype="130" unbalanced="0"/>
    <cacheHierarchy uniqueName="[poblacion_postgrado].[tipo_programa]" caption="tipo_programa" attribute="1" defaultMemberUniqueName="[poblacion_postgrado].[tipo_programa].[All]" allUniqueName="[poblacion_postgrado].[tipo_programa].[All]" dimensionUniqueName="[poblacion_postgrado]" displayFolder="" count="0" memberValueDatatype="130" unbalanced="0"/>
    <cacheHierarchy uniqueName="[poblacion_postgrado].[nombre_tipo_programa]" caption="nombre_tipo_programa" attribute="1" defaultMemberUniqueName="[poblacion_postgrado].[nombre_tipo_programa].[All]" allUniqueName="[poblacion_postgrado].[nombre_tipo_programa].[All]" dimensionUniqueName="[poblacion_postgrado]" displayFolder="" count="0" memberValueDatatype="130" unbalanced="0"/>
    <cacheHierarchy uniqueName="[poblacion_postgrado].[nombre_metodologia]" caption="nombre_metodologia" attribute="1" defaultMemberUniqueName="[poblacion_postgrado].[nombre_metodologia].[All]" allUniqueName="[poblacion_postgrado].[nombre_metodologia].[All]" dimensionUniqueName="[poblacion_postgrado]" displayFolder="" count="0" memberValueDatatype="130" unbalanced="0"/>
    <cacheHierarchy uniqueName="[poblacion_postgrado].[ppto_nuevos]" caption="ppto_nuevos" attribute="1" defaultMemberUniqueName="[poblacion_postgrado].[ppto_nuevos].[All]" allUniqueName="[poblacion_postgrado].[ppto_nuevos].[All]" dimensionUniqueName="[poblacion_postgrado]" displayFolder="" count="0" memberValueDatatype="20" unbalanced="0"/>
    <cacheHierarchy uniqueName="[poblacion_postgrado].[ppto_antiguos]" caption="ppto_antiguos" attribute="1" defaultMemberUniqueName="[poblacion_postgrado].[ppto_antiguos].[All]" allUniqueName="[poblacion_postgrado].[ppto_antiguos].[All]" dimensionUniqueName="[poblacion_postgrado]" displayFolder="" count="0" memberValueDatatype="20" unbalanced="0"/>
    <cacheHierarchy uniqueName="[poblacion_postgrado].[real_nuevos]" caption="real_nuevos" attribute="1" defaultMemberUniqueName="[poblacion_postgrado].[real_nuevos].[All]" allUniqueName="[poblacion_postgrado].[real_nuevos].[All]" dimensionUniqueName="[poblacion_postgrado]" displayFolder="" count="0" memberValueDatatype="20" unbalanced="0"/>
    <cacheHierarchy uniqueName="[poblacion_postgrado].[real_antiguos]" caption="real_antiguos" attribute="1" defaultMemberUniqueName="[poblacion_postgrado].[real_antiguos].[All]" allUniqueName="[poblacion_postgrado].[real_antiguos].[All]" dimensionUniqueName="[poblacion_postgrado]" displayFolder="" count="0" memberValueDatatype="20" unbalanced="0"/>
    <cacheHierarchy uniqueName="[poblacion_postgrado].[ppto]" caption="ppto" attribute="1" defaultMemberUniqueName="[poblacion_postgrado].[ppto].[All]" allUniqueName="[poblacion_postgrado].[ppto].[All]" dimensionUniqueName="[poblacion_postgrado]" displayFolder="" count="0" memberValueDatatype="20" unbalanced="0"/>
    <cacheHierarchy uniqueName="[poblacion_postgrado].[real]" caption="real" attribute="1" defaultMemberUniqueName="[poblacion_postgrado].[real].[All]" allUniqueName="[poblacion_postgrado].[real].[All]" dimensionUniqueName="[poblacion_postgrado]" displayFolder="" count="0" memberValueDatatype="20" unbalanced="0"/>
    <cacheHierarchy uniqueName="[poblacion_postgrado].[diferencia]" caption="diferencia" attribute="1" defaultMemberUniqueName="[poblacion_postgrado].[diferencia].[All]" allUniqueName="[poblacion_postgrado].[diferencia].[All]" dimensionUniqueName="[poblacion_postgrado]" displayFolder="" count="0" memberValueDatatype="20" unbalanced="0"/>
    <cacheHierarchy uniqueName="[poblacion_pregrado].[ano]" caption="ano" attribute="1" defaultMemberUniqueName="[poblacion_pregrado].[ano].[All]" allUniqueName="[poblacion_pregrado].[ano].[All]" dimensionUniqueName="[poblacion_pregrado]" displayFolder="" count="0" memberValueDatatype="20" unbalanced="0"/>
    <cacheHierarchy uniqueName="[poblacion_pregrado].[periodo]" caption="periodo" attribute="1" defaultMemberUniqueName="[poblacion_pregrado].[periodo].[All]" allUniqueName="[poblacion_pregrado].[periodo].[All]" dimensionUniqueName="[poblacion_pregrado]" displayFolder="" count="0" memberValueDatatype="130" unbalanced="0"/>
    <cacheHierarchy uniqueName="[poblacion_pregrado].[semestre]" caption="semestre" attribute="1" defaultMemberUniqueName="[poblacion_pregrado].[semestre].[All]" allUniqueName="[poblacion_pregrado].[semestre].[All]" dimensionUniqueName="[poblacion_pregrado]" displayFolder="" count="0" memberValueDatatype="20" unbalanced="0"/>
    <cacheHierarchy uniqueName="[poblacion_pregrado].[departamento_padre]" caption="departamento_padre" attribute="1" defaultMemberUniqueName="[poblacion_pregrado].[departamento_padre].[All]" allUniqueName="[poblacion_pregrado].[departamento_padre].[All]" dimensionUniqueName="[poblacion_pregrado]" displayFolder="" count="0" memberValueDatatype="130" unbalanced="0"/>
    <cacheHierarchy uniqueName="[poblacion_pregrado].[nombre_departamento_padre]" caption="nombre_departamento_padre" attribute="1" defaultMemberUniqueName="[poblacion_pregrado].[nombre_departamento_padre].[All]" allUniqueName="[poblacion_pregrado].[nombre_departamento_padre].[All]" dimensionUniqueName="[poblacion_pregrado]" displayFolder="" count="0" memberValueDatatype="130" unbalanced="0"/>
    <cacheHierarchy uniqueName="[poblacion_pregrado].[departamento]" caption="departamento" attribute="1" defaultMemberUniqueName="[poblacion_pregrado].[departamento].[All]" allUniqueName="[poblacion_pregrado].[departamento].[All]" dimensionUniqueName="[poblacion_pregrado]" displayFolder="" count="0" memberValueDatatype="130" unbalanced="0"/>
    <cacheHierarchy uniqueName="[poblacion_pregrado].[nombre_departamento_hijo]" caption="nombre_departamento_hijo" attribute="1" defaultMemberUniqueName="[poblacion_pregrado].[nombre_departamento_hijo].[All]" allUniqueName="[poblacion_pregrado].[nombre_departamento_hijo].[All]" dimensionUniqueName="[poblacion_pregrado]" displayFolder="" count="0" memberValueDatatype="130" unbalanced="0"/>
    <cacheHierarchy uniqueName="[poblacion_pregrado].[nombre_tipo_estudiante]" caption="nombre_tipo_estudiante" attribute="1" defaultMemberUniqueName="[poblacion_pregrado].[nombre_tipo_estudiante].[All]" allUniqueName="[poblacion_pregrado].[nombre_tipo_estudiante].[All]" dimensionUniqueName="[poblacion_pregrado]" displayFolder="" count="0" memberValueDatatype="130" unbalanced="0"/>
    <cacheHierarchy uniqueName="[poblacion_pregrado].[ppto_nuevos]" caption="ppto_nuevos" attribute="1" defaultMemberUniqueName="[poblacion_pregrado].[ppto_nuevos].[All]" allUniqueName="[poblacion_pregrado].[ppto_nuevos].[All]" dimensionUniqueName="[poblacion_pregrado]" displayFolder="" count="0" memberValueDatatype="5" unbalanced="0"/>
    <cacheHierarchy uniqueName="[poblacion_pregrado].[ppto_antiguos]" caption="ppto_antiguos" attribute="1" defaultMemberUniqueName="[poblacion_pregrado].[ppto_antiguos].[All]" allUniqueName="[poblacion_pregrado].[ppto_antiguos].[All]" dimensionUniqueName="[poblacion_pregrado]" displayFolder="" count="0" memberValueDatatype="5" unbalanced="0"/>
    <cacheHierarchy uniqueName="[poblacion_pregrado].[real_nuevos]" caption="real_nuevos" attribute="1" defaultMemberUniqueName="[poblacion_pregrado].[real_nuevos].[All]" allUniqueName="[poblacion_pregrado].[real_nuevos].[All]" dimensionUniqueName="[poblacion_pregrado]" displayFolder="" count="0" memberValueDatatype="5" unbalanced="0"/>
    <cacheHierarchy uniqueName="[poblacion_pregrado].[real_antiguos]" caption="real_antiguos" attribute="1" defaultMemberUniqueName="[poblacion_pregrado].[real_antiguos].[All]" allUniqueName="[poblacion_pregrado].[real_antiguos].[All]" dimensionUniqueName="[poblacion_pregrado]" displayFolder="" count="0" memberValueDatatype="5" unbalanced="0"/>
    <cacheHierarchy uniqueName="[poblacion_pregrado].[ppto]" caption="ppto" attribute="1" defaultMemberUniqueName="[poblacion_pregrado].[ppto].[All]" allUniqueName="[poblacion_pregrado].[ppto].[All]" dimensionUniqueName="[poblacion_pregrado]" displayFolder="" count="0" memberValueDatatype="5" unbalanced="0"/>
    <cacheHierarchy uniqueName="[poblacion_pregrado].[real]" caption="real" attribute="1" defaultMemberUniqueName="[poblacion_pregrado].[real].[All]" allUniqueName="[poblacion_pregrado].[real].[All]" dimensionUniqueName="[poblacion_pregrado]" displayFolder="" count="0" memberValueDatatype="5" unbalanced="0"/>
    <cacheHierarchy uniqueName="[poblacion_pregrado].[diferencia]" caption="diferencia" attribute="1" defaultMemberUniqueName="[poblacion_pregrado].[diferencia].[All]" allUniqueName="[poblacion_pregrado].[diferencia].[All]" dimensionUniqueName="[poblacion_pregrado]" displayFolder="" count="0" memberValueDatatype="5" unbalanced="0"/>
    <cacheHierarchy uniqueName="[Measures].[__XL_Count A2020]" caption="__XL_Count A2020" measure="1" displayFolder="" measureGroup="A2020" count="0" hidden="1"/>
    <cacheHierarchy uniqueName="[Measures].[__XL_Count IF]" caption="__XL_Count IF" measure="1" displayFolder="" measureGroup="IF" count="0" hidden="1"/>
    <cacheHierarchy uniqueName="[Measures].[__XL_Count poblacion_pregrado]" caption="__XL_Count poblacion_pregrado" measure="1" displayFolder="" measureGroup="poblacion_pregrado" count="0" hidden="1"/>
    <cacheHierarchy uniqueName="[Measures].[__XL_Count poblacion_postgrado]" caption="__XL_Count poblacion_postgrado" measure="1" displayFolder="" measureGroup="poblacion_postgrado" count="0" hidden="1"/>
    <cacheHierarchy uniqueName="[Measures].[__No measures defined]" caption="__No measures defined" measure="1" displayFolder="" count="0" hidden="1"/>
    <cacheHierarchy uniqueName="[Measures].[Suma de valor]" caption="Suma de valor" measure="1" displayFolder="" measureGroup="IF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real]" caption="Suma de real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al_nuevos]" caption="Suma de real_nuev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real_antiguos]" caption="Suma de real_antigu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real 2]" caption="Suma de real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eal_nuevos 2]" caption="Suma de real_nuev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real_antiguos 2]" caption="Suma de real_antigu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</cacheHierarchies>
  <kpis count="0"/>
  <dimensions count="5">
    <dimension name="A2020" uniqueName="[A2020]" caption="A2020"/>
    <dimension name="IF" uniqueName="[IF]" caption="IF"/>
    <dimension measure="1" name="Measures" uniqueName="[Measures]" caption="Measures"/>
    <dimension name="poblacion_postgrado" uniqueName="[poblacion_postgrado]" caption="poblacion_postgrado"/>
    <dimension name="poblacion_pregrado" uniqueName="[poblacion_pregrado]" caption="poblacion_pregrado"/>
  </dimensions>
  <measureGroups count="4">
    <measureGroup name="A2020" caption="A2020"/>
    <measureGroup name="IF" caption="IF"/>
    <measureGroup name="poblacion_postgrado" caption="poblacion_postgrado"/>
    <measureGroup name="poblacion_pregrado" caption="poblacion_pregrado"/>
  </measureGroups>
  <maps count="4">
    <map measureGroup="0" dimension="0"/>
    <map measureGroup="1" dimension="1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los Alberto Ceballos Gutierrez" refreshedDate="44383.602634374998" createdVersion="5" refreshedVersion="7" minRefreshableVersion="3" recordCount="0" supportSubquery="1" supportAdvancedDrill="1" xr:uid="{683B13C4-DDE7-430E-983C-D641B4D3F3F1}">
  <cacheSource type="external" connectionId="8"/>
  <cacheFields count="9">
    <cacheField name="[IF].[departamento_jerarquia1].[departamento_jerarquia1]" caption="departamento_jerarquia1" numFmtId="0" hierarchy="37" level="1">
      <sharedItems containsSemiMixedTypes="0" containsNonDate="0" containsString="0"/>
    </cacheField>
    <cacheField name="[IF].[departamento_jerarquia2].[departamento_jerarquia2]" caption="departamento_jerarquia2" numFmtId="0" hierarchy="38" level="1">
      <sharedItems containsSemiMixedTypes="0" containsNonDate="0" containsString="0"/>
    </cacheField>
    <cacheField name="[IF].[mes].[mes]" caption="mes" numFmtId="0" hierarchy="28" level="1">
      <sharedItems containsSemiMixedTypes="0" containsString="0" containsNumber="1" containsInteger="1" minValue="1" maxValue="12" count="7">
        <n v="12"/>
        <n v="4"/>
        <n v="5"/>
        <n v="1"/>
        <n v="2"/>
        <n v="3"/>
        <n v="6"/>
      </sharedItems>
      <extLst>
        <ext xmlns:x15="http://schemas.microsoft.com/office/spreadsheetml/2010/11/main" uri="{4F2E5C28-24EA-4eb8-9CBF-B6C8F9C3D259}">
          <x15:cachedUniqueNames>
            <x15:cachedUniqueName index="0" name="[IF].[mes].&amp;[12]"/>
            <x15:cachedUniqueName index="1" name="[IF].[mes].&amp;[4]"/>
            <x15:cachedUniqueName index="2" name="[IF].[mes].&amp;[5]"/>
            <x15:cachedUniqueName index="3" name="[IF].[mes].&amp;[1]"/>
            <x15:cachedUniqueName index="4" name="[IF].[mes].&amp;[2]"/>
            <x15:cachedUniqueName index="5" name="[IF].[mes].&amp;[3]"/>
            <x15:cachedUniqueName index="6" name="[IF].[mes].&amp;[6]"/>
          </x15:cachedUniqueNames>
        </ext>
      </extLst>
    </cacheField>
    <cacheField name="[IF].[ano].[ano]" caption="ano" numFmtId="0" hierarchy="27" level="1">
      <sharedItems containsSemiMixedTypes="0" containsString="0" containsNumber="1" containsInteger="1" minValue="2018" maxValue="2021" count="4"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IF].[ano].&amp;[2018]"/>
            <x15:cachedUniqueName index="1" name="[IF].[ano].&amp;[2019]"/>
            <x15:cachedUniqueName index="2" name="[IF].[ano].&amp;[2020]"/>
            <x15:cachedUniqueName index="3" name="[IF].[ano].&amp;[2021]"/>
          </x15:cachedUniqueNames>
        </ext>
      </extLst>
    </cacheField>
    <cacheField name="[IF].[informacion].[informacion]" caption="informacion" numFmtId="0" hierarchy="34" level="1">
      <sharedItems count="2">
        <s v="EJECUCION"/>
        <s v="PRESUPUESTO"/>
      </sharedItems>
    </cacheField>
    <cacheField name="[Measures].[Suma de valor]" caption="Suma de valor" numFmtId="0" hierarchy="92" level="32767"/>
    <cacheField name="[IF].[cuenta_ppto].[cuenta_ppto]" caption="cuenta_ppto" numFmtId="0" hierarchy="29" level="1">
      <sharedItems count="32">
        <s v="7417010001"/>
        <s v="7417010002"/>
        <s v="7518010001"/>
        <s v="7518010002"/>
        <s v="7518010003"/>
        <s v="7518010004"/>
        <s v="7518010007"/>
        <s v="7518010008"/>
        <s v="7518010009"/>
        <s v="7518010010"/>
        <s v="7518010011"/>
        <s v="7518010012"/>
        <s v="7518010013"/>
        <s v="7518010014"/>
        <s v="7518010015"/>
        <s v="7518010016"/>
        <s v="7518010019"/>
        <s v="7417010014" u="1"/>
        <s v="7518010005" u="1"/>
        <s v="7417010003" u="1"/>
        <s v="7417010004" u="1"/>
        <s v="7417010005" u="1"/>
        <s v="7417010006" u="1"/>
        <s v="7417010007" u="1"/>
        <s v="7417010008" u="1"/>
        <s v="7417010009" u="1"/>
        <s v="7417010010" u="1"/>
        <s v="7417010011" u="1"/>
        <s v="7417010012" u="1"/>
        <s v="7417010013" u="1"/>
        <s v="7518010017" u="1"/>
        <s v="7518010018" u="1"/>
      </sharedItems>
    </cacheField>
    <cacheField name="[IF].[nombre_cuenta].[nombre_cuenta]" caption="nombre_cuenta" numFmtId="0" hierarchy="30" level="1">
      <sharedItems count="17">
        <s v="INGRESOS SERVICIOS ACADEMICOS"/>
        <s v="INGRESOS SERVICIOS ADTVOS"/>
        <s v="GASTOS SERVICIOS ACADEMICOS"/>
        <s v="CAPACITACION AL PERSONAL INT"/>
        <s v="AJUSTES GASTO DE PERSONAL"/>
        <s v="AJUSTES GASTOS GENERALES"/>
        <s v="GASTOS LIBRERIA INT"/>
        <s v="SUSCRIPCIONES Y REVISTAS INT"/>
        <s v="GASTO SERVICIOS ADTVOS"/>
        <s v="GASTOS ARRENDAMIENTOS INT"/>
        <s v="SERVICIOS PUBLICOS INT"/>
        <s v="DEPRECIA Y AMORTIZACIONES INT"/>
        <s v="GASTOS POR CAFETERIA INT"/>
        <s v="PARQUEADEROS INT"/>
        <s v="PUBLICIDAD PROMOCION INT"/>
        <s v="FONDO ESPECIAL"/>
        <s v="GASTOS SERV ACAD Y ADMIN"/>
      </sharedItems>
    </cacheField>
    <cacheField name="[IF].[nombre_metodologia].[nombre_metodologia]" caption="nombre_metodologia" numFmtId="0" hierarchy="51" level="1">
      <sharedItems containsSemiMixedTypes="0" containsNonDate="0" containsString="0"/>
    </cacheField>
  </cacheFields>
  <cacheHierarchies count="99">
    <cacheHierarchy uniqueName="[A2020].[ano]" caption="ano" attribute="1" defaultMemberUniqueName="[A2020].[ano].[All]" allUniqueName="[A2020].[ano].[All]" dimensionUniqueName="[A2020]" displayFolder="" count="0" memberValueDatatype="20" unbalanced="0"/>
    <cacheHierarchy uniqueName="[A2020].[mes]" caption="mes" attribute="1" defaultMemberUniqueName="[A2020].[mes].[All]" allUniqueName="[A2020].[mes].[All]" dimensionUniqueName="[A2020]" displayFolder="" count="0" memberValueDatatype="20" unbalanced="0"/>
    <cacheHierarchy uniqueName="[A2020].[cuenta_ppto]" caption="cuenta_ppto" attribute="1" defaultMemberUniqueName="[A2020].[cuenta_ppto].[All]" allUniqueName="[A2020].[cuenta_ppto].[All]" dimensionUniqueName="[A2020]" displayFolder="" count="0" memberValueDatatype="130" unbalanced="0"/>
    <cacheHierarchy uniqueName="[A2020].[nombre_cuenta]" caption="nombre_cuenta" attribute="1" defaultMemberUniqueName="[A2020].[nombre_cuenta].[All]" allUniqueName="[A2020].[nombre_cuenta].[All]" dimensionUniqueName="[A2020]" displayFolder="" count="0" memberValueDatatype="130" unbalanced="0"/>
    <cacheHierarchy uniqueName="[A2020].[grupo_cuenta]" caption="grupo_cuenta" attribute="1" defaultMemberUniqueName="[A2020].[grupo_cuenta].[All]" allUniqueName="[A2020].[grupo_cuenta].[All]" dimensionUniqueName="[A2020]" displayFolder="" count="0" memberValueDatatype="130" unbalanced="0"/>
    <cacheHierarchy uniqueName="[A2020].[grupo_analisis]" caption="grupo_analisis" attribute="1" defaultMemberUniqueName="[A2020].[grupo_analisis].[All]" allUniqueName="[A2020].[grupo_analisis].[All]" dimensionUniqueName="[A2020]" displayFolder="" count="0" memberValueDatatype="130" unbalanced="0"/>
    <cacheHierarchy uniqueName="[A2020].[valor]" caption="valor" attribute="1" defaultMemberUniqueName="[A2020].[valor].[All]" allUniqueName="[A2020].[valor].[All]" dimensionUniqueName="[A2020]" displayFolder="" count="0" memberValueDatatype="5" unbalanced="0"/>
    <cacheHierarchy uniqueName="[A2020].[informacion]" caption="informacion" attribute="1" defaultMemberUniqueName="[A2020].[informacion].[All]" allUniqueName="[A2020].[informacion].[All]" dimensionUniqueName="[A2020]" displayFolder="" count="0" memberValueDatatype="130" unbalanced="0"/>
    <cacheHierarchy uniqueName="[A2020].[departamento_padre]" caption="departamento_padre" attribute="1" defaultMemberUniqueName="[A2020].[departamento_padre].[All]" allUniqueName="[A2020].[departamento_padre].[All]" dimensionUniqueName="[A2020]" displayFolder="" count="0" memberValueDatatype="130" unbalanced="0"/>
    <cacheHierarchy uniqueName="[A2020].[departamento_hijo]" caption="departamento_hijo" attribute="1" defaultMemberUniqueName="[A2020].[departamento_hijo].[All]" allUniqueName="[A2020].[departamento_hijo].[All]" dimensionUniqueName="[A2020]" displayFolder="" count="0" memberValueDatatype="130" unbalanced="0"/>
    <cacheHierarchy uniqueName="[A2020].[departamento_jerarquia1]" caption="departamento_jerarquia1" attribute="1" defaultMemberUniqueName="[A2020].[departamento_jerarquia1].[All]" allUniqueName="[A2020].[departamento_jerarquia1].[All]" dimensionUniqueName="[A2020]" displayFolder="" count="0" memberValueDatatype="130" unbalanced="0"/>
    <cacheHierarchy uniqueName="[A2020].[departamento_jerarquia2]" caption="departamento_jerarquia2" attribute="1" defaultMemberUniqueName="[A2020].[departamento_jerarquia2].[All]" allUniqueName="[A2020].[departamento_jerarquia2].[All]" dimensionUniqueName="[A2020]" displayFolder="" count="0" memberValueDatatype="130" unbalanced="0"/>
    <cacheHierarchy uniqueName="[A2020].[nombre_departamento_padre]" caption="nombre_departamento_padre" attribute="1" defaultMemberUniqueName="[A2020].[nombre_departamento_padre].[All]" allUniqueName="[A2020].[nombre_departamento_padre].[All]" dimensionUniqueName="[A2020]" displayFolder="" count="0" memberValueDatatype="130" unbalanced="0"/>
    <cacheHierarchy uniqueName="[A2020].[numero_nivel]" caption="numero_nivel" attribute="1" defaultMemberUniqueName="[A2020].[numero_nivel].[All]" allUniqueName="[A2020].[numero_nivel].[All]" dimensionUniqueName="[A2020]" displayFolder="" count="0" memberValueDatatype="20" unbalanced="0"/>
    <cacheHierarchy uniqueName="[A2020].[nombre_departamento_hijo]" caption="nombre_departamento_hijo" attribute="1" defaultMemberUniqueName="[A2020].[nombre_departamento_hijo].[All]" allUniqueName="[A2020].[nombre_departamento_hijo].[All]" dimensionUniqueName="[A2020]" displayFolder="" count="0" memberValueDatatype="130" unbalanced="0"/>
    <cacheHierarchy uniqueName="[A2020].[proyecto]" caption="proyecto" attribute="1" defaultMemberUniqueName="[A2020].[proyecto].[All]" allUniqueName="[A2020].[proyecto].[All]" dimensionUniqueName="[A2020]" displayFolder="" count="0" memberValueDatatype="130" unbalanced="0"/>
    <cacheHierarchy uniqueName="[A2020].[grupo_jerarquia]" caption="grupo_jerarquia" attribute="1" defaultMemberUniqueName="[A2020].[grupo_jerarquia].[All]" allUniqueName="[A2020].[grupo_jerarquia].[All]" dimensionUniqueName="[A2020]" displayFolder="" count="0" memberValueDatatype="130" unbalanced="0"/>
    <cacheHierarchy uniqueName="[A2020].[nombre_grupo_jerarquia]" caption="nombre_grupo_jerarquia" attribute="1" defaultMemberUniqueName="[A2020].[nombre_grupo_jerarquia].[All]" allUniqueName="[A2020].[nombre_grupo_jerarquia].[All]" dimensionUniqueName="[A2020]" displayFolder="" count="0" memberValueDatatype="130" unbalanced="0"/>
    <cacheHierarchy uniqueName="[A2020].[tipo_cuenta]" caption="tipo_cuenta" attribute="1" defaultMemberUniqueName="[A2020].[tipo_cuenta].[All]" allUniqueName="[A2020].[tipo_cuenta].[All]" dimensionUniqueName="[A2020]" displayFolder="" count="0" memberValueDatatype="130" unbalanced="0"/>
    <cacheHierarchy uniqueName="[A2020].[nombre_tipo_cuenta]" caption="nombre_tipo_cuenta" attribute="1" defaultMemberUniqueName="[A2020].[nombre_tipo_cuenta].[All]" allUniqueName="[A2020].[nombre_tipo_cuenta].[All]" dimensionUniqueName="[A2020]" displayFolder="" count="0" memberValueDatatype="130" unbalanced="0"/>
    <cacheHierarchy uniqueName="[A2020].[tipo_unidad]" caption="tipo_unidad" attribute="1" defaultMemberUniqueName="[A2020].[tipo_unidad].[All]" allUniqueName="[A2020].[tipo_unidad].[All]" dimensionUniqueName="[A2020]" displayFolder="" count="0" memberValueDatatype="130" unbalanced="0"/>
    <cacheHierarchy uniqueName="[A2020].[nombre_tipo_unidad]" caption="nombre_tipo_unidad" attribute="1" defaultMemberUniqueName="[A2020].[nombre_tipo_unidad].[All]" allUniqueName="[A2020].[nombre_tipo_unidad].[All]" dimensionUniqueName="[A2020]" displayFolder="" count="0" memberValueDatatype="130" unbalanced="0"/>
    <cacheHierarchy uniqueName="[A2020].[tipo_programa]" caption="tipo_programa" attribute="1" defaultMemberUniqueName="[A2020].[tipo_programa].[All]" allUniqueName="[A2020].[tipo_programa].[All]" dimensionUniqueName="[A2020]" displayFolder="" count="0" memberValueDatatype="130" unbalanced="0"/>
    <cacheHierarchy uniqueName="[A2020].[nombre_tipo_programa]" caption="nombre_tipo_programa" attribute="1" defaultMemberUniqueName="[A2020].[nombre_tipo_programa].[All]" allUniqueName="[A2020].[nombre_tipo_programa].[All]" dimensionUniqueName="[A2020]" displayFolder="" count="0" memberValueDatatype="130" unbalanced="0"/>
    <cacheHierarchy uniqueName="[A2020].[nombre_metodologia]" caption="nombre_metodologia" attribute="1" defaultMemberUniqueName="[A2020].[nombre_metodologia].[All]" allUniqueName="[A2020].[nombre_metodologia].[All]" dimensionUniqueName="[A2020]" displayFolder="" count="0" memberValueDatatype="130" unbalanced="0"/>
    <cacheHierarchy uniqueName="[A2020].[tipo_departamento]" caption="tipo_departamento" attribute="1" defaultMemberUniqueName="[A2020].[tipo_departamento].[All]" allUniqueName="[A2020].[tipo_departamento].[All]" dimensionUniqueName="[A2020]" displayFolder="" count="0" memberValueDatatype="130" unbalanced="0"/>
    <cacheHierarchy uniqueName="[A2020].[horizonte]" caption="horizonte" attribute="1" defaultMemberUniqueName="[A2020].[horizonte].[All]" allUniqueName="[A2020].[horizonte].[All]" dimensionUniqueName="[A2020]" displayFolder="" count="0" memberValueDatatype="130" unbalanced="0"/>
    <cacheHierarchy uniqueName="[IF].[ano]" caption="ano" attribute="1" defaultMemberUniqueName="[IF].[ano].[All]" allUniqueName="[IF].[ano].[All]" dimensionUniqueName="[IF]" displayFolder="" count="2" memberValueDatatype="20" unbalanced="0">
      <fieldsUsage count="2">
        <fieldUsage x="-1"/>
        <fieldUsage x="3"/>
      </fieldsUsage>
    </cacheHierarchy>
    <cacheHierarchy uniqueName="[IF].[mes]" caption="mes" attribute="1" defaultMemberUniqueName="[IF].[mes].[All]" allUniqueName="[IF].[mes].[All]" dimensionUniqueName="[IF]" displayFolder="" count="2" memberValueDatatype="20" unbalanced="0">
      <fieldsUsage count="2">
        <fieldUsage x="-1"/>
        <fieldUsage x="2"/>
      </fieldsUsage>
    </cacheHierarchy>
    <cacheHierarchy uniqueName="[IF].[cuenta_ppto]" caption="cuenta_ppto" attribute="1" defaultMemberUniqueName="[IF].[cuenta_ppto].[All]" allUniqueName="[IF].[cuenta_ppto].[All]" dimensionUniqueName="[IF]" displayFolder="" count="2" memberValueDatatype="130" unbalanced="0">
      <fieldsUsage count="2">
        <fieldUsage x="-1"/>
        <fieldUsage x="6"/>
      </fieldsUsage>
    </cacheHierarchy>
    <cacheHierarchy uniqueName="[IF].[nombre_cuenta]" caption="nombre_cuenta" attribute="1" defaultMemberUniqueName="[IF].[nombre_cuenta].[All]" allUniqueName="[IF].[nombre_cuenta].[All]" dimensionUniqueName="[IF]" displayFolder="" count="2" memberValueDatatype="130" unbalanced="0">
      <fieldsUsage count="2">
        <fieldUsage x="-1"/>
        <fieldUsage x="7"/>
      </fieldsUsage>
    </cacheHierarchy>
    <cacheHierarchy uniqueName="[IF].[grupo_cuenta]" caption="grupo_cuenta" attribute="1" defaultMemberUniqueName="[IF].[grupo_cuenta].[All]" allUniqueName="[IF].[grupo_cuenta].[All]" dimensionUniqueName="[IF]" displayFolder="" count="0" memberValueDatatype="130" unbalanced="0"/>
    <cacheHierarchy uniqueName="[IF].[grupo_analisis]" caption="grupo_analisis" attribute="1" defaultMemberUniqueName="[IF].[grupo_analisis].[All]" allUniqueName="[IF].[grupo_analisis].[All]" dimensionUniqueName="[IF]" displayFolder="" count="0" memberValueDatatype="130" unbalanced="0"/>
    <cacheHierarchy uniqueName="[IF].[valor]" caption="valor" attribute="1" defaultMemberUniqueName="[IF].[valor].[All]" allUniqueName="[IF].[valor].[All]" dimensionUniqueName="[IF]" displayFolder="" count="0" memberValueDatatype="5" unbalanced="0"/>
    <cacheHierarchy uniqueName="[IF].[informacion]" caption="informacion" attribute="1" defaultMemberUniqueName="[IF].[informacion].[All]" allUniqueName="[IF].[informacion].[All]" dimensionUniqueName="[IF]" displayFolder="" count="2" memberValueDatatype="130" unbalanced="0">
      <fieldsUsage count="2">
        <fieldUsage x="-1"/>
        <fieldUsage x="4"/>
      </fieldsUsage>
    </cacheHierarchy>
    <cacheHierarchy uniqueName="[IF].[departamento_padre]" caption="departamento_padre" attribute="1" defaultMemberUniqueName="[IF].[departamento_padre].[All]" allUniqueName="[IF].[departamento_padre].[All]" dimensionUniqueName="[IF]" displayFolder="" count="0" memberValueDatatype="130" unbalanced="0"/>
    <cacheHierarchy uniqueName="[IF].[departamento_hijo]" caption="departamento_hijo" attribute="1" defaultMemberUniqueName="[IF].[departamento_hijo].[All]" allUniqueName="[IF].[departamento_hijo].[All]" dimensionUniqueName="[IF]" displayFolder="" count="0" memberValueDatatype="130" unbalanced="0"/>
    <cacheHierarchy uniqueName="[IF].[departamento_jerarquia1]" caption="departamento_jerarquia1" attribute="1" defaultMemberUniqueName="[IF].[departamento_jerarquia1].[All]" allUniqueName="[IF].[departamento_jerarquia1].[All]" dimensionUniqueName="[IF]" displayFolder="" count="2" memberValueDatatype="130" unbalanced="0">
      <fieldsUsage count="2">
        <fieldUsage x="-1"/>
        <fieldUsage x="0"/>
      </fieldsUsage>
    </cacheHierarchy>
    <cacheHierarchy uniqueName="[IF].[departamento_jerarquia2]" caption="departamento_jerarquia2" attribute="1" defaultMemberUniqueName="[IF].[departamento_jerarquia2].[All]" allUniqueName="[IF].[departamento_jerarquia2].[All]" dimensionUniqueName="[IF]" displayFolder="" count="2" memberValueDatatype="130" unbalanced="0">
      <fieldsUsage count="2">
        <fieldUsage x="-1"/>
        <fieldUsage x="1"/>
      </fieldsUsage>
    </cacheHierarchy>
    <cacheHierarchy uniqueName="[IF].[nombre_departamento_padre]" caption="nombre_departamento_padre" attribute="1" defaultMemberUniqueName="[IF].[nombre_departamento_padre].[All]" allUniqueName="[IF].[nombre_departamento_padre].[All]" dimensionUniqueName="[IF]" displayFolder="" count="0" memberValueDatatype="130" unbalanced="0"/>
    <cacheHierarchy uniqueName="[IF].[numero_nivel]" caption="numero_nivel" attribute="1" defaultMemberUniqueName="[IF].[numero_nivel].[All]" allUniqueName="[IF].[numero_nivel].[All]" dimensionUniqueName="[IF]" displayFolder="" count="0" memberValueDatatype="20" unbalanced="0"/>
    <cacheHierarchy uniqueName="[IF].[nombre_departamento_hijo]" caption="nombre_departamento_hijo" attribute="1" defaultMemberUniqueName="[IF].[nombre_departamento_hijo].[All]" allUniqueName="[IF].[nombre_departamento_hijo].[All]" dimensionUniqueName="[IF]" displayFolder="" count="0" memberValueDatatype="130" unbalanced="0"/>
    <cacheHierarchy uniqueName="[IF].[proyecto]" caption="proyecto" attribute="1" defaultMemberUniqueName="[IF].[proyecto].[All]" allUniqueName="[IF].[proyecto].[All]" dimensionUniqueName="[IF]" displayFolder="" count="0" memberValueDatatype="130" unbalanced="0"/>
    <cacheHierarchy uniqueName="[IF].[grupo_jerarquia]" caption="grupo_jerarquia" attribute="1" defaultMemberUniqueName="[IF].[grupo_jerarquia].[All]" allUniqueName="[IF].[grupo_jerarquia].[All]" dimensionUniqueName="[IF]" displayFolder="" count="0" memberValueDatatype="130" unbalanced="0"/>
    <cacheHierarchy uniqueName="[IF].[nombre_grupo_jerarquia]" caption="nombre_grupo_jerarquia" attribute="1" defaultMemberUniqueName="[IF].[nombre_grupo_jerarquia].[All]" allUniqueName="[IF].[nombre_grupo_jerarquia].[All]" dimensionUniqueName="[IF]" displayFolder="" count="0" memberValueDatatype="130" unbalanced="0"/>
    <cacheHierarchy uniqueName="[IF].[tipo_cuenta]" caption="tipo_cuenta" attribute="1" defaultMemberUniqueName="[IF].[tipo_cuenta].[All]" allUniqueName="[IF].[tipo_cuenta].[All]" dimensionUniqueName="[IF]" displayFolder="" count="0" memberValueDatatype="130" unbalanced="0"/>
    <cacheHierarchy uniqueName="[IF].[nombre_tipo_cuenta]" caption="nombre_tipo_cuenta" attribute="1" defaultMemberUniqueName="[IF].[nombre_tipo_cuenta].[All]" allUniqueName="[IF].[nombre_tipo_cuenta].[All]" dimensionUniqueName="[IF]" displayFolder="" count="0" memberValueDatatype="130" unbalanced="0"/>
    <cacheHierarchy uniqueName="[IF].[tipo_unidad]" caption="tipo_unidad" attribute="1" defaultMemberUniqueName="[IF].[tipo_unidad].[All]" allUniqueName="[IF].[tipo_unidad].[All]" dimensionUniqueName="[IF]" displayFolder="" count="0" memberValueDatatype="130" unbalanced="0"/>
    <cacheHierarchy uniqueName="[IF].[nombre_tipo_unidad]" caption="nombre_tipo_unidad" attribute="1" defaultMemberUniqueName="[IF].[nombre_tipo_unidad].[All]" allUniqueName="[IF].[nombre_tipo_unidad].[All]" dimensionUniqueName="[IF]" displayFolder="" count="0" memberValueDatatype="130" unbalanced="0"/>
    <cacheHierarchy uniqueName="[IF].[tipo_programa]" caption="tipo_programa" attribute="1" defaultMemberUniqueName="[IF].[tipo_programa].[All]" allUniqueName="[IF].[tipo_programa].[All]" dimensionUniqueName="[IF]" displayFolder="" count="0" memberValueDatatype="130" unbalanced="0"/>
    <cacheHierarchy uniqueName="[IF].[nombre_tipo_programa]" caption="nombre_tipo_programa" attribute="1" defaultMemberUniqueName="[IF].[nombre_tipo_programa].[All]" allUniqueName="[IF].[nombre_tipo_programa].[All]" dimensionUniqueName="[IF]" displayFolder="" count="0" memberValueDatatype="130" unbalanced="0"/>
    <cacheHierarchy uniqueName="[IF].[nombre_metodologia]" caption="nombre_metodologia" attribute="1" defaultMemberUniqueName="[IF].[nombre_metodologia].[All]" allUniqueName="[IF].[nombre_metodologia].[All]" dimensionUniqueName="[IF]" displayFolder="" count="2" memberValueDatatype="130" unbalanced="0">
      <fieldsUsage count="2">
        <fieldUsage x="-1"/>
        <fieldUsage x="8"/>
      </fieldsUsage>
    </cacheHierarchy>
    <cacheHierarchy uniqueName="[IF].[tipo_departamento]" caption="tipo_departamento" attribute="1" defaultMemberUniqueName="[IF].[tipo_departamento].[All]" allUniqueName="[IF].[tipo_departamento].[All]" dimensionUniqueName="[IF]" displayFolder="" count="0" memberValueDatatype="130" unbalanced="0"/>
    <cacheHierarchy uniqueName="[IF].[horizonte]" caption="horizonte" attribute="1" defaultMemberUniqueName="[IF].[horizonte].[All]" allUniqueName="[IF].[horizonte].[All]" dimensionUniqueName="[IF]" displayFolder="" count="0" memberValueDatatype="130" unbalanced="0"/>
    <cacheHierarchy uniqueName="[poblacion_postgrado].[ano]" caption="ano" attribute="1" defaultMemberUniqueName="[poblacion_postgrado].[ano].[All]" allUniqueName="[poblacion_postgrado].[ano].[All]" dimensionUniqueName="[poblacion_postgrado]" displayFolder="" count="0" memberValueDatatype="20" unbalanced="0"/>
    <cacheHierarchy uniqueName="[poblacion_postgrado].[periodo]" caption="periodo" attribute="1" defaultMemberUniqueName="[poblacion_postgrado].[periodo].[All]" allUniqueName="[poblacion_postgrado].[periodo].[All]" dimensionUniqueName="[poblacion_postgrado]" displayFolder="" count="0" memberValueDatatype="130" unbalanced="0"/>
    <cacheHierarchy uniqueName="[poblacion_postgrado].[semestre]" caption="semestre" attribute="1" defaultMemberUniqueName="[poblacion_postgrado].[semestre].[All]" allUniqueName="[poblacion_postgrado].[semestre].[All]" dimensionUniqueName="[poblacion_postgrado]" displayFolder="" count="0" memberValueDatatype="20" unbalanced="0"/>
    <cacheHierarchy uniqueName="[poblacion_postgrado].[fecha]" caption="fecha" attribute="1" defaultMemberUniqueName="[poblacion_postgrado].[fecha].[All]" allUniqueName="[poblacion_postgrado].[fecha].[All]" dimensionUniqueName="[poblacion_postgrado]" displayFolder="" count="0" memberValueDatatype="130" unbalanced="0"/>
    <cacheHierarchy uniqueName="[poblacion_postgrado].[departamento_padre]" caption="departamento_padre" attribute="1" defaultMemberUniqueName="[poblacion_postgrado].[departamento_padre].[All]" allUniqueName="[poblacion_postgrado].[departamento_padre].[All]" dimensionUniqueName="[poblacion_postgrado]" displayFolder="" count="0" memberValueDatatype="130" unbalanced="0"/>
    <cacheHierarchy uniqueName="[poblacion_postgrado].[nombre_departamento_padre]" caption="nombre_departamento_padre" attribute="1" defaultMemberUniqueName="[poblacion_postgrado].[nombre_departamento_padre].[All]" allUniqueName="[poblacion_postgrado].[nombre_departamento_padre].[All]" dimensionUniqueName="[poblacion_postgrado]" displayFolder="" count="0" memberValueDatatype="130" unbalanced="0"/>
    <cacheHierarchy uniqueName="[poblacion_postgrado].[departamento]" caption="departamento" attribute="1" defaultMemberUniqueName="[poblacion_postgrado].[departamento].[All]" allUniqueName="[poblacion_postgrado].[departamento].[All]" dimensionUniqueName="[poblacion_postgrado]" displayFolder="" count="0" memberValueDatatype="130" unbalanced="0"/>
    <cacheHierarchy uniqueName="[poblacion_postgrado].[nombre_departamento_hijo]" caption="nombre_departamento_hijo" attribute="1" defaultMemberUniqueName="[poblacion_postgrado].[nombre_departamento_hijo].[All]" allUniqueName="[poblacion_postgrado].[nombre_departamento_hijo].[All]" dimensionUniqueName="[poblacion_postgrado]" displayFolder="" count="0" memberValueDatatype="130" unbalanced="0"/>
    <cacheHierarchy uniqueName="[poblacion_postgrado].[tipo_programa]" caption="tipo_programa" attribute="1" defaultMemberUniqueName="[poblacion_postgrado].[tipo_programa].[All]" allUniqueName="[poblacion_postgrado].[tipo_programa].[All]" dimensionUniqueName="[poblacion_postgrado]" displayFolder="" count="0" memberValueDatatype="130" unbalanced="0"/>
    <cacheHierarchy uniqueName="[poblacion_postgrado].[nombre_tipo_programa]" caption="nombre_tipo_programa" attribute="1" defaultMemberUniqueName="[poblacion_postgrado].[nombre_tipo_programa].[All]" allUniqueName="[poblacion_postgrado].[nombre_tipo_programa].[All]" dimensionUniqueName="[poblacion_postgrado]" displayFolder="" count="0" memberValueDatatype="130" unbalanced="0"/>
    <cacheHierarchy uniqueName="[poblacion_postgrado].[nombre_metodologia]" caption="nombre_metodologia" attribute="1" defaultMemberUniqueName="[poblacion_postgrado].[nombre_metodologia].[All]" allUniqueName="[poblacion_postgrado].[nombre_metodologia].[All]" dimensionUniqueName="[poblacion_postgrado]" displayFolder="" count="0" memberValueDatatype="130" unbalanced="0"/>
    <cacheHierarchy uniqueName="[poblacion_postgrado].[ppto_nuevos]" caption="ppto_nuevos" attribute="1" defaultMemberUniqueName="[poblacion_postgrado].[ppto_nuevos].[All]" allUniqueName="[poblacion_postgrado].[ppto_nuevos].[All]" dimensionUniqueName="[poblacion_postgrado]" displayFolder="" count="0" memberValueDatatype="20" unbalanced="0"/>
    <cacheHierarchy uniqueName="[poblacion_postgrado].[ppto_antiguos]" caption="ppto_antiguos" attribute="1" defaultMemberUniqueName="[poblacion_postgrado].[ppto_antiguos].[All]" allUniqueName="[poblacion_postgrado].[ppto_antiguos].[All]" dimensionUniqueName="[poblacion_postgrado]" displayFolder="" count="0" memberValueDatatype="20" unbalanced="0"/>
    <cacheHierarchy uniqueName="[poblacion_postgrado].[real_nuevos]" caption="real_nuevos" attribute="1" defaultMemberUniqueName="[poblacion_postgrado].[real_nuevos].[All]" allUniqueName="[poblacion_postgrado].[real_nuevos].[All]" dimensionUniqueName="[poblacion_postgrado]" displayFolder="" count="0" memberValueDatatype="20" unbalanced="0"/>
    <cacheHierarchy uniqueName="[poblacion_postgrado].[real_antiguos]" caption="real_antiguos" attribute="1" defaultMemberUniqueName="[poblacion_postgrado].[real_antiguos].[All]" allUniqueName="[poblacion_postgrado].[real_antiguos].[All]" dimensionUniqueName="[poblacion_postgrado]" displayFolder="" count="0" memberValueDatatype="20" unbalanced="0"/>
    <cacheHierarchy uniqueName="[poblacion_postgrado].[ppto]" caption="ppto" attribute="1" defaultMemberUniqueName="[poblacion_postgrado].[ppto].[All]" allUniqueName="[poblacion_postgrado].[ppto].[All]" dimensionUniqueName="[poblacion_postgrado]" displayFolder="" count="0" memberValueDatatype="20" unbalanced="0"/>
    <cacheHierarchy uniqueName="[poblacion_postgrado].[real]" caption="real" attribute="1" defaultMemberUniqueName="[poblacion_postgrado].[real].[All]" allUniqueName="[poblacion_postgrado].[real].[All]" dimensionUniqueName="[poblacion_postgrado]" displayFolder="" count="0" memberValueDatatype="20" unbalanced="0"/>
    <cacheHierarchy uniqueName="[poblacion_postgrado].[diferencia]" caption="diferencia" attribute="1" defaultMemberUniqueName="[poblacion_postgrado].[diferencia].[All]" allUniqueName="[poblacion_postgrado].[diferencia].[All]" dimensionUniqueName="[poblacion_postgrado]" displayFolder="" count="0" memberValueDatatype="20" unbalanced="0"/>
    <cacheHierarchy uniqueName="[poblacion_pregrado].[ano]" caption="ano" attribute="1" defaultMemberUniqueName="[poblacion_pregrado].[ano].[All]" allUniqueName="[poblacion_pregrado].[ano].[All]" dimensionUniqueName="[poblacion_pregrado]" displayFolder="" count="0" memberValueDatatype="20" unbalanced="0"/>
    <cacheHierarchy uniqueName="[poblacion_pregrado].[periodo]" caption="periodo" attribute="1" defaultMemberUniqueName="[poblacion_pregrado].[periodo].[All]" allUniqueName="[poblacion_pregrado].[periodo].[All]" dimensionUniqueName="[poblacion_pregrado]" displayFolder="" count="0" memberValueDatatype="130" unbalanced="0"/>
    <cacheHierarchy uniqueName="[poblacion_pregrado].[semestre]" caption="semestre" attribute="1" defaultMemberUniqueName="[poblacion_pregrado].[semestre].[All]" allUniqueName="[poblacion_pregrado].[semestre].[All]" dimensionUniqueName="[poblacion_pregrado]" displayFolder="" count="0" memberValueDatatype="20" unbalanced="0"/>
    <cacheHierarchy uniqueName="[poblacion_pregrado].[departamento_padre]" caption="departamento_padre" attribute="1" defaultMemberUniqueName="[poblacion_pregrado].[departamento_padre].[All]" allUniqueName="[poblacion_pregrado].[departamento_padre].[All]" dimensionUniqueName="[poblacion_pregrado]" displayFolder="" count="0" memberValueDatatype="130" unbalanced="0"/>
    <cacheHierarchy uniqueName="[poblacion_pregrado].[nombre_departamento_padre]" caption="nombre_departamento_padre" attribute="1" defaultMemberUniqueName="[poblacion_pregrado].[nombre_departamento_padre].[All]" allUniqueName="[poblacion_pregrado].[nombre_departamento_padre].[All]" dimensionUniqueName="[poblacion_pregrado]" displayFolder="" count="0" memberValueDatatype="130" unbalanced="0"/>
    <cacheHierarchy uniqueName="[poblacion_pregrado].[departamento]" caption="departamento" attribute="1" defaultMemberUniqueName="[poblacion_pregrado].[departamento].[All]" allUniqueName="[poblacion_pregrado].[departamento].[All]" dimensionUniqueName="[poblacion_pregrado]" displayFolder="" count="0" memberValueDatatype="130" unbalanced="0"/>
    <cacheHierarchy uniqueName="[poblacion_pregrado].[nombre_departamento_hijo]" caption="nombre_departamento_hijo" attribute="1" defaultMemberUniqueName="[poblacion_pregrado].[nombre_departamento_hijo].[All]" allUniqueName="[poblacion_pregrado].[nombre_departamento_hijo].[All]" dimensionUniqueName="[poblacion_pregrado]" displayFolder="" count="0" memberValueDatatype="130" unbalanced="0"/>
    <cacheHierarchy uniqueName="[poblacion_pregrado].[nombre_tipo_estudiante]" caption="nombre_tipo_estudiante" attribute="1" defaultMemberUniqueName="[poblacion_pregrado].[nombre_tipo_estudiante].[All]" allUniqueName="[poblacion_pregrado].[nombre_tipo_estudiante].[All]" dimensionUniqueName="[poblacion_pregrado]" displayFolder="" count="0" memberValueDatatype="130" unbalanced="0"/>
    <cacheHierarchy uniqueName="[poblacion_pregrado].[ppto_nuevos]" caption="ppto_nuevos" attribute="1" defaultMemberUniqueName="[poblacion_pregrado].[ppto_nuevos].[All]" allUniqueName="[poblacion_pregrado].[ppto_nuevos].[All]" dimensionUniqueName="[poblacion_pregrado]" displayFolder="" count="0" memberValueDatatype="5" unbalanced="0"/>
    <cacheHierarchy uniqueName="[poblacion_pregrado].[ppto_antiguos]" caption="ppto_antiguos" attribute="1" defaultMemberUniqueName="[poblacion_pregrado].[ppto_antiguos].[All]" allUniqueName="[poblacion_pregrado].[ppto_antiguos].[All]" dimensionUniqueName="[poblacion_pregrado]" displayFolder="" count="0" memberValueDatatype="5" unbalanced="0"/>
    <cacheHierarchy uniqueName="[poblacion_pregrado].[real_nuevos]" caption="real_nuevos" attribute="1" defaultMemberUniqueName="[poblacion_pregrado].[real_nuevos].[All]" allUniqueName="[poblacion_pregrado].[real_nuevos].[All]" dimensionUniqueName="[poblacion_pregrado]" displayFolder="" count="0" memberValueDatatype="5" unbalanced="0"/>
    <cacheHierarchy uniqueName="[poblacion_pregrado].[real_antiguos]" caption="real_antiguos" attribute="1" defaultMemberUniqueName="[poblacion_pregrado].[real_antiguos].[All]" allUniqueName="[poblacion_pregrado].[real_antiguos].[All]" dimensionUniqueName="[poblacion_pregrado]" displayFolder="" count="0" memberValueDatatype="5" unbalanced="0"/>
    <cacheHierarchy uniqueName="[poblacion_pregrado].[ppto]" caption="ppto" attribute="1" defaultMemberUniqueName="[poblacion_pregrado].[ppto].[All]" allUniqueName="[poblacion_pregrado].[ppto].[All]" dimensionUniqueName="[poblacion_pregrado]" displayFolder="" count="0" memberValueDatatype="5" unbalanced="0"/>
    <cacheHierarchy uniqueName="[poblacion_pregrado].[real]" caption="real" attribute="1" defaultMemberUniqueName="[poblacion_pregrado].[real].[All]" allUniqueName="[poblacion_pregrado].[real].[All]" dimensionUniqueName="[poblacion_pregrado]" displayFolder="" count="0" memberValueDatatype="5" unbalanced="0"/>
    <cacheHierarchy uniqueName="[poblacion_pregrado].[diferencia]" caption="diferencia" attribute="1" defaultMemberUniqueName="[poblacion_pregrado].[diferencia].[All]" allUniqueName="[poblacion_pregrado].[diferencia].[All]" dimensionUniqueName="[poblacion_pregrado]" displayFolder="" count="0" memberValueDatatype="5" unbalanced="0"/>
    <cacheHierarchy uniqueName="[Measures].[__XL_Count A2020]" caption="__XL_Count A2020" measure="1" displayFolder="" measureGroup="A2020" count="0" hidden="1"/>
    <cacheHierarchy uniqueName="[Measures].[__XL_Count IF]" caption="__XL_Count IF" measure="1" displayFolder="" measureGroup="IF" count="0" hidden="1"/>
    <cacheHierarchy uniqueName="[Measures].[__XL_Count poblacion_pregrado]" caption="__XL_Count poblacion_pregrado" measure="1" displayFolder="" measureGroup="poblacion_pregrado" count="0" hidden="1"/>
    <cacheHierarchy uniqueName="[Measures].[__XL_Count poblacion_postgrado]" caption="__XL_Count poblacion_postgrado" measure="1" displayFolder="" measureGroup="poblacion_postgrado" count="0" hidden="1"/>
    <cacheHierarchy uniqueName="[Measures].[__No measures defined]" caption="__No measures defined" measure="1" displayFolder="" count="0" hidden="1"/>
    <cacheHierarchy uniqueName="[Measures].[Suma de valor]" caption="Suma de valor" measure="1" displayFolder="" measureGroup="IF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real]" caption="Suma de real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al_nuevos]" caption="Suma de real_nuev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real_antiguos]" caption="Suma de real_antigu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real 2]" caption="Suma de real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eal_nuevos 2]" caption="Suma de real_nuev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real_antiguos 2]" caption="Suma de real_antigu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</cacheHierarchies>
  <kpis count="0"/>
  <dimensions count="5">
    <dimension name="A2020" uniqueName="[A2020]" caption="A2020"/>
    <dimension name="IF" uniqueName="[IF]" caption="IF"/>
    <dimension measure="1" name="Measures" uniqueName="[Measures]" caption="Measures"/>
    <dimension name="poblacion_postgrado" uniqueName="[poblacion_postgrado]" caption="poblacion_postgrado"/>
    <dimension name="poblacion_pregrado" uniqueName="[poblacion_pregrado]" caption="poblacion_pregrado"/>
  </dimensions>
  <measureGroups count="4">
    <measureGroup name="A2020" caption="A2020"/>
    <measureGroup name="IF" caption="IF"/>
    <measureGroup name="poblacion_postgrado" caption="poblacion_postgrado"/>
    <measureGroup name="poblacion_pregrado" caption="poblacion_pregrado"/>
  </measureGroups>
  <maps count="4">
    <map measureGroup="0" dimension="0"/>
    <map measureGroup="1" dimension="1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los Alberto Ceballos Gutierrez" refreshedDate="44383.60263483796" createdVersion="5" refreshedVersion="7" minRefreshableVersion="3" recordCount="0" supportSubquery="1" supportAdvancedDrill="1" xr:uid="{06D60FB0-6559-48C2-8D6E-EC292AC2163A}">
  <cacheSource type="external" connectionId="8"/>
  <cacheFields count="9">
    <cacheField name="[IF].[departamento_jerarquia1].[departamento_jerarquia1]" caption="departamento_jerarquia1" numFmtId="0" hierarchy="37" level="1">
      <sharedItems containsSemiMixedTypes="0" containsNonDate="0" containsString="0"/>
    </cacheField>
    <cacheField name="[IF].[departamento_jerarquia2].[departamento_jerarquia2]" caption="departamento_jerarquia2" numFmtId="0" hierarchy="38" level="1">
      <sharedItems containsSemiMixedTypes="0" containsNonDate="0" containsString="0"/>
    </cacheField>
    <cacheField name="[IF].[mes].[mes]" caption="mes" numFmtId="0" hierarchy="28" level="1">
      <sharedItems containsSemiMixedTypes="0" containsString="0" containsNumber="1" containsInteger="1" minValue="1" maxValue="12" count="5">
        <n v="3"/>
        <n v="4"/>
        <n v="12"/>
        <n v="1"/>
        <n v="2"/>
      </sharedItems>
      <extLst>
        <ext xmlns:x15="http://schemas.microsoft.com/office/spreadsheetml/2010/11/main" uri="{4F2E5C28-24EA-4eb8-9CBF-B6C8F9C3D259}">
          <x15:cachedUniqueNames>
            <x15:cachedUniqueName index="0" name="[IF].[mes].&amp;[3]"/>
            <x15:cachedUniqueName index="1" name="[IF].[mes].&amp;[4]"/>
            <x15:cachedUniqueName index="2" name="[IF].[mes].&amp;[12]"/>
            <x15:cachedUniqueName index="3" name="[IF].[mes].&amp;[1]"/>
            <x15:cachedUniqueName index="4" name="[IF].[mes].&amp;[2]"/>
          </x15:cachedUniqueNames>
        </ext>
      </extLst>
    </cacheField>
    <cacheField name="[IF].[ano].[ano]" caption="ano" numFmtId="0" hierarchy="27" level="1">
      <sharedItems containsSemiMixedTypes="0" containsString="0" containsNumber="1" containsInteger="1" minValue="2020" maxValue="2021" count="2"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IF].[ano].&amp;[2020]"/>
            <x15:cachedUniqueName index="1" name="[IF].[ano].&amp;[2021]"/>
          </x15:cachedUniqueNames>
        </ext>
      </extLst>
    </cacheField>
    <cacheField name="[IF].[informacion].[informacion]" caption="informacion" numFmtId="0" hierarchy="34" level="1">
      <sharedItems count="1">
        <s v="EJECUCION"/>
      </sharedItems>
    </cacheField>
    <cacheField name="[Measures].[Suma de valor]" caption="Suma de valor" numFmtId="0" hierarchy="92" level="32767"/>
    <cacheField name="[IF].[cuenta_ppto].[cuenta_ppto]" caption="cuenta_ppto" numFmtId="0" hierarchy="29" level="1">
      <sharedItems count="32">
        <s v="7417010001"/>
        <s v="7417010002" u="1"/>
        <s v="7417010014" u="1"/>
        <s v="7518010001" u="1"/>
        <s v="7518010002" u="1"/>
        <s v="7518010003" u="1"/>
        <s v="7518010004" u="1"/>
        <s v="7518010005" u="1"/>
        <s v="7518010007" u="1"/>
        <s v="7518010008" u="1"/>
        <s v="7518010009" u="1"/>
        <s v="7518010010" u="1"/>
        <s v="7518010011" u="1"/>
        <s v="7518010012" u="1"/>
        <s v="7518010013" u="1"/>
        <s v="7518010014" u="1"/>
        <s v="7518010015" u="1"/>
        <s v="7518010016" u="1"/>
        <s v="7518010019" u="1"/>
        <s v="7417010003" u="1"/>
        <s v="7417010004" u="1"/>
        <s v="7417010005" u="1"/>
        <s v="7417010006" u="1"/>
        <s v="7417010007" u="1"/>
        <s v="7417010008" u="1"/>
        <s v="7417010009" u="1"/>
        <s v="7417010010" u="1"/>
        <s v="7417010011" u="1"/>
        <s v="7417010012" u="1"/>
        <s v="7417010013" u="1"/>
        <s v="7518010017" u="1"/>
        <s v="7518010018" u="1"/>
      </sharedItems>
    </cacheField>
    <cacheField name="[IF].[proyecto].[proyecto]" caption="proyecto" numFmtId="0" hierarchy="42" level="1">
      <sharedItems containsSemiMixedTypes="0" containsNonDate="0" containsString="0"/>
    </cacheField>
    <cacheField name="[IF].[grupo_analisis].[grupo_analisis]" caption="grupo_analisis" numFmtId="0" hierarchy="32" level="1">
      <sharedItems count="7">
        <s v="CONSULTORIA"/>
        <s v="GASTOS DE PERSONAL"/>
        <s v="GASTOS GENERALES"/>
        <s v="GASTOS INTERNOS"/>
        <s v="HONORARIOS Y SERVICIOS"/>
        <s v="IMPUESTOS"/>
        <s v="INGRESOS FINANCIEROS"/>
      </sharedItems>
    </cacheField>
  </cacheFields>
  <cacheHierarchies count="99">
    <cacheHierarchy uniqueName="[A2020].[ano]" caption="ano" attribute="1" defaultMemberUniqueName="[A2020].[ano].[All]" allUniqueName="[A2020].[ano].[All]" dimensionUniqueName="[A2020]" displayFolder="" count="0" memberValueDatatype="20" unbalanced="0"/>
    <cacheHierarchy uniqueName="[A2020].[mes]" caption="mes" attribute="1" defaultMemberUniqueName="[A2020].[mes].[All]" allUniqueName="[A2020].[mes].[All]" dimensionUniqueName="[A2020]" displayFolder="" count="0" memberValueDatatype="20" unbalanced="0"/>
    <cacheHierarchy uniqueName="[A2020].[cuenta_ppto]" caption="cuenta_ppto" attribute="1" defaultMemberUniqueName="[A2020].[cuenta_ppto].[All]" allUniqueName="[A2020].[cuenta_ppto].[All]" dimensionUniqueName="[A2020]" displayFolder="" count="0" memberValueDatatype="130" unbalanced="0"/>
    <cacheHierarchy uniqueName="[A2020].[nombre_cuenta]" caption="nombre_cuenta" attribute="1" defaultMemberUniqueName="[A2020].[nombre_cuenta].[All]" allUniqueName="[A2020].[nombre_cuenta].[All]" dimensionUniqueName="[A2020]" displayFolder="" count="0" memberValueDatatype="130" unbalanced="0"/>
    <cacheHierarchy uniqueName="[A2020].[grupo_cuenta]" caption="grupo_cuenta" attribute="1" defaultMemberUniqueName="[A2020].[grupo_cuenta].[All]" allUniqueName="[A2020].[grupo_cuenta].[All]" dimensionUniqueName="[A2020]" displayFolder="" count="0" memberValueDatatype="130" unbalanced="0"/>
    <cacheHierarchy uniqueName="[A2020].[grupo_analisis]" caption="grupo_analisis" attribute="1" defaultMemberUniqueName="[A2020].[grupo_analisis].[All]" allUniqueName="[A2020].[grupo_analisis].[All]" dimensionUniqueName="[A2020]" displayFolder="" count="0" memberValueDatatype="130" unbalanced="0"/>
    <cacheHierarchy uniqueName="[A2020].[valor]" caption="valor" attribute="1" defaultMemberUniqueName="[A2020].[valor].[All]" allUniqueName="[A2020].[valor].[All]" dimensionUniqueName="[A2020]" displayFolder="" count="0" memberValueDatatype="5" unbalanced="0"/>
    <cacheHierarchy uniqueName="[A2020].[informacion]" caption="informacion" attribute="1" defaultMemberUniqueName="[A2020].[informacion].[All]" allUniqueName="[A2020].[informacion].[All]" dimensionUniqueName="[A2020]" displayFolder="" count="0" memberValueDatatype="130" unbalanced="0"/>
    <cacheHierarchy uniqueName="[A2020].[departamento_padre]" caption="departamento_padre" attribute="1" defaultMemberUniqueName="[A2020].[departamento_padre].[All]" allUniqueName="[A2020].[departamento_padre].[All]" dimensionUniqueName="[A2020]" displayFolder="" count="0" memberValueDatatype="130" unbalanced="0"/>
    <cacheHierarchy uniqueName="[A2020].[departamento_hijo]" caption="departamento_hijo" attribute="1" defaultMemberUniqueName="[A2020].[departamento_hijo].[All]" allUniqueName="[A2020].[departamento_hijo].[All]" dimensionUniqueName="[A2020]" displayFolder="" count="0" memberValueDatatype="130" unbalanced="0"/>
    <cacheHierarchy uniqueName="[A2020].[departamento_jerarquia1]" caption="departamento_jerarquia1" attribute="1" defaultMemberUniqueName="[A2020].[departamento_jerarquia1].[All]" allUniqueName="[A2020].[departamento_jerarquia1].[All]" dimensionUniqueName="[A2020]" displayFolder="" count="0" memberValueDatatype="130" unbalanced="0"/>
    <cacheHierarchy uniqueName="[A2020].[departamento_jerarquia2]" caption="departamento_jerarquia2" attribute="1" defaultMemberUniqueName="[A2020].[departamento_jerarquia2].[All]" allUniqueName="[A2020].[departamento_jerarquia2].[All]" dimensionUniqueName="[A2020]" displayFolder="" count="0" memberValueDatatype="130" unbalanced="0"/>
    <cacheHierarchy uniqueName="[A2020].[nombre_departamento_padre]" caption="nombre_departamento_padre" attribute="1" defaultMemberUniqueName="[A2020].[nombre_departamento_padre].[All]" allUniqueName="[A2020].[nombre_departamento_padre].[All]" dimensionUniqueName="[A2020]" displayFolder="" count="0" memberValueDatatype="130" unbalanced="0"/>
    <cacheHierarchy uniqueName="[A2020].[numero_nivel]" caption="numero_nivel" attribute="1" defaultMemberUniqueName="[A2020].[numero_nivel].[All]" allUniqueName="[A2020].[numero_nivel].[All]" dimensionUniqueName="[A2020]" displayFolder="" count="0" memberValueDatatype="20" unbalanced="0"/>
    <cacheHierarchy uniqueName="[A2020].[nombre_departamento_hijo]" caption="nombre_departamento_hijo" attribute="1" defaultMemberUniqueName="[A2020].[nombre_departamento_hijo].[All]" allUniqueName="[A2020].[nombre_departamento_hijo].[All]" dimensionUniqueName="[A2020]" displayFolder="" count="0" memberValueDatatype="130" unbalanced="0"/>
    <cacheHierarchy uniqueName="[A2020].[proyecto]" caption="proyecto" attribute="1" defaultMemberUniqueName="[A2020].[proyecto].[All]" allUniqueName="[A2020].[proyecto].[All]" dimensionUniqueName="[A2020]" displayFolder="" count="0" memberValueDatatype="130" unbalanced="0"/>
    <cacheHierarchy uniqueName="[A2020].[grupo_jerarquia]" caption="grupo_jerarquia" attribute="1" defaultMemberUniqueName="[A2020].[grupo_jerarquia].[All]" allUniqueName="[A2020].[grupo_jerarquia].[All]" dimensionUniqueName="[A2020]" displayFolder="" count="0" memberValueDatatype="130" unbalanced="0"/>
    <cacheHierarchy uniqueName="[A2020].[nombre_grupo_jerarquia]" caption="nombre_grupo_jerarquia" attribute="1" defaultMemberUniqueName="[A2020].[nombre_grupo_jerarquia].[All]" allUniqueName="[A2020].[nombre_grupo_jerarquia].[All]" dimensionUniqueName="[A2020]" displayFolder="" count="0" memberValueDatatype="130" unbalanced="0"/>
    <cacheHierarchy uniqueName="[A2020].[tipo_cuenta]" caption="tipo_cuenta" attribute="1" defaultMemberUniqueName="[A2020].[tipo_cuenta].[All]" allUniqueName="[A2020].[tipo_cuenta].[All]" dimensionUniqueName="[A2020]" displayFolder="" count="0" memberValueDatatype="130" unbalanced="0"/>
    <cacheHierarchy uniqueName="[A2020].[nombre_tipo_cuenta]" caption="nombre_tipo_cuenta" attribute="1" defaultMemberUniqueName="[A2020].[nombre_tipo_cuenta].[All]" allUniqueName="[A2020].[nombre_tipo_cuenta].[All]" dimensionUniqueName="[A2020]" displayFolder="" count="0" memberValueDatatype="130" unbalanced="0"/>
    <cacheHierarchy uniqueName="[A2020].[tipo_unidad]" caption="tipo_unidad" attribute="1" defaultMemberUniqueName="[A2020].[tipo_unidad].[All]" allUniqueName="[A2020].[tipo_unidad].[All]" dimensionUniqueName="[A2020]" displayFolder="" count="0" memberValueDatatype="130" unbalanced="0"/>
    <cacheHierarchy uniqueName="[A2020].[nombre_tipo_unidad]" caption="nombre_tipo_unidad" attribute="1" defaultMemberUniqueName="[A2020].[nombre_tipo_unidad].[All]" allUniqueName="[A2020].[nombre_tipo_unidad].[All]" dimensionUniqueName="[A2020]" displayFolder="" count="0" memberValueDatatype="130" unbalanced="0"/>
    <cacheHierarchy uniqueName="[A2020].[tipo_programa]" caption="tipo_programa" attribute="1" defaultMemberUniqueName="[A2020].[tipo_programa].[All]" allUniqueName="[A2020].[tipo_programa].[All]" dimensionUniqueName="[A2020]" displayFolder="" count="0" memberValueDatatype="130" unbalanced="0"/>
    <cacheHierarchy uniqueName="[A2020].[nombre_tipo_programa]" caption="nombre_tipo_programa" attribute="1" defaultMemberUniqueName="[A2020].[nombre_tipo_programa].[All]" allUniqueName="[A2020].[nombre_tipo_programa].[All]" dimensionUniqueName="[A2020]" displayFolder="" count="0" memberValueDatatype="130" unbalanced="0"/>
    <cacheHierarchy uniqueName="[A2020].[nombre_metodologia]" caption="nombre_metodologia" attribute="1" defaultMemberUniqueName="[A2020].[nombre_metodologia].[All]" allUniqueName="[A2020].[nombre_metodologia].[All]" dimensionUniqueName="[A2020]" displayFolder="" count="0" memberValueDatatype="130" unbalanced="0"/>
    <cacheHierarchy uniqueName="[A2020].[tipo_departamento]" caption="tipo_departamento" attribute="1" defaultMemberUniqueName="[A2020].[tipo_departamento].[All]" allUniqueName="[A2020].[tipo_departamento].[All]" dimensionUniqueName="[A2020]" displayFolder="" count="0" memberValueDatatype="130" unbalanced="0"/>
    <cacheHierarchy uniqueName="[A2020].[horizonte]" caption="horizonte" attribute="1" defaultMemberUniqueName="[A2020].[horizonte].[All]" allUniqueName="[A2020].[horizonte].[All]" dimensionUniqueName="[A2020]" displayFolder="" count="0" memberValueDatatype="130" unbalanced="0"/>
    <cacheHierarchy uniqueName="[IF].[ano]" caption="ano" attribute="1" defaultMemberUniqueName="[IF].[ano].[All]" allUniqueName="[IF].[ano].[All]" dimensionUniqueName="[IF]" displayFolder="" count="2" memberValueDatatype="20" unbalanced="0">
      <fieldsUsage count="2">
        <fieldUsage x="-1"/>
        <fieldUsage x="3"/>
      </fieldsUsage>
    </cacheHierarchy>
    <cacheHierarchy uniqueName="[IF].[mes]" caption="mes" attribute="1" defaultMemberUniqueName="[IF].[mes].[All]" allUniqueName="[IF].[mes].[All]" dimensionUniqueName="[IF]" displayFolder="" count="2" memberValueDatatype="20" unbalanced="0">
      <fieldsUsage count="2">
        <fieldUsage x="-1"/>
        <fieldUsage x="2"/>
      </fieldsUsage>
    </cacheHierarchy>
    <cacheHierarchy uniqueName="[IF].[cuenta_ppto]" caption="cuenta_ppto" attribute="1" defaultMemberUniqueName="[IF].[cuenta_ppto].[All]" allUniqueName="[IF].[cuenta_ppto].[All]" dimensionUniqueName="[IF]" displayFolder="" count="2" memberValueDatatype="130" unbalanced="0">
      <fieldsUsage count="2">
        <fieldUsage x="-1"/>
        <fieldUsage x="6"/>
      </fieldsUsage>
    </cacheHierarchy>
    <cacheHierarchy uniqueName="[IF].[nombre_cuenta]" caption="nombre_cuenta" attribute="1" defaultMemberUniqueName="[IF].[nombre_cuenta].[All]" allUniqueName="[IF].[nombre_cuenta].[All]" dimensionUniqueName="[IF]" displayFolder="" count="0" memberValueDatatype="130" unbalanced="0"/>
    <cacheHierarchy uniqueName="[IF].[grupo_cuenta]" caption="grupo_cuenta" attribute="1" defaultMemberUniqueName="[IF].[grupo_cuenta].[All]" allUniqueName="[IF].[grupo_cuenta].[All]" dimensionUniqueName="[IF]" displayFolder="" count="0" memberValueDatatype="130" unbalanced="0"/>
    <cacheHierarchy uniqueName="[IF].[grupo_analisis]" caption="grupo_analisis" attribute="1" defaultMemberUniqueName="[IF].[grupo_analisis].[All]" allUniqueName="[IF].[grupo_analisis].[All]" dimensionUniqueName="[IF]" displayFolder="" count="2" memberValueDatatype="130" unbalanced="0">
      <fieldsUsage count="2">
        <fieldUsage x="-1"/>
        <fieldUsage x="8"/>
      </fieldsUsage>
    </cacheHierarchy>
    <cacheHierarchy uniqueName="[IF].[valor]" caption="valor" attribute="1" defaultMemberUniqueName="[IF].[valor].[All]" allUniqueName="[IF].[valor].[All]" dimensionUniqueName="[IF]" displayFolder="" count="0" memberValueDatatype="5" unbalanced="0"/>
    <cacheHierarchy uniqueName="[IF].[informacion]" caption="informacion" attribute="1" defaultMemberUniqueName="[IF].[informacion].[All]" allUniqueName="[IF].[informacion].[All]" dimensionUniqueName="[IF]" displayFolder="" count="2" memberValueDatatype="130" unbalanced="0">
      <fieldsUsage count="2">
        <fieldUsage x="-1"/>
        <fieldUsage x="4"/>
      </fieldsUsage>
    </cacheHierarchy>
    <cacheHierarchy uniqueName="[IF].[departamento_padre]" caption="departamento_padre" attribute="1" defaultMemberUniqueName="[IF].[departamento_padre].[All]" allUniqueName="[IF].[departamento_padre].[All]" dimensionUniqueName="[IF]" displayFolder="" count="0" memberValueDatatype="130" unbalanced="0"/>
    <cacheHierarchy uniqueName="[IF].[departamento_hijo]" caption="departamento_hijo" attribute="1" defaultMemberUniqueName="[IF].[departamento_hijo].[All]" allUniqueName="[IF].[departamento_hijo].[All]" dimensionUniqueName="[IF]" displayFolder="" count="0" memberValueDatatype="130" unbalanced="0"/>
    <cacheHierarchy uniqueName="[IF].[departamento_jerarquia1]" caption="departamento_jerarquia1" attribute="1" defaultMemberUniqueName="[IF].[departamento_jerarquia1].[All]" allUniqueName="[IF].[departamento_jerarquia1].[All]" dimensionUniqueName="[IF]" displayFolder="" count="2" memberValueDatatype="130" unbalanced="0">
      <fieldsUsage count="2">
        <fieldUsage x="-1"/>
        <fieldUsage x="0"/>
      </fieldsUsage>
    </cacheHierarchy>
    <cacheHierarchy uniqueName="[IF].[departamento_jerarquia2]" caption="departamento_jerarquia2" attribute="1" defaultMemberUniqueName="[IF].[departamento_jerarquia2].[All]" allUniqueName="[IF].[departamento_jerarquia2].[All]" dimensionUniqueName="[IF]" displayFolder="" count="2" memberValueDatatype="130" unbalanced="0">
      <fieldsUsage count="2">
        <fieldUsage x="-1"/>
        <fieldUsage x="1"/>
      </fieldsUsage>
    </cacheHierarchy>
    <cacheHierarchy uniqueName="[IF].[nombre_departamento_padre]" caption="nombre_departamento_padre" attribute="1" defaultMemberUniqueName="[IF].[nombre_departamento_padre].[All]" allUniqueName="[IF].[nombre_departamento_padre].[All]" dimensionUniqueName="[IF]" displayFolder="" count="0" memberValueDatatype="130" unbalanced="0"/>
    <cacheHierarchy uniqueName="[IF].[numero_nivel]" caption="numero_nivel" attribute="1" defaultMemberUniqueName="[IF].[numero_nivel].[All]" allUniqueName="[IF].[numero_nivel].[All]" dimensionUniqueName="[IF]" displayFolder="" count="0" memberValueDatatype="20" unbalanced="0"/>
    <cacheHierarchy uniqueName="[IF].[nombre_departamento_hijo]" caption="nombre_departamento_hijo" attribute="1" defaultMemberUniqueName="[IF].[nombre_departamento_hijo].[All]" allUniqueName="[IF].[nombre_departamento_hijo].[All]" dimensionUniqueName="[IF]" displayFolder="" count="0" memberValueDatatype="130" unbalanced="0"/>
    <cacheHierarchy uniqueName="[IF].[proyecto]" caption="proyecto" attribute="1" defaultMemberUniqueName="[IF].[proyecto].[All]" allUniqueName="[IF].[proyecto].[All]" dimensionUniqueName="[IF]" displayFolder="" count="2" memberValueDatatype="130" unbalanced="0">
      <fieldsUsage count="2">
        <fieldUsage x="-1"/>
        <fieldUsage x="7"/>
      </fieldsUsage>
    </cacheHierarchy>
    <cacheHierarchy uniqueName="[IF].[grupo_jerarquia]" caption="grupo_jerarquia" attribute="1" defaultMemberUniqueName="[IF].[grupo_jerarquia].[All]" allUniqueName="[IF].[grupo_jerarquia].[All]" dimensionUniqueName="[IF]" displayFolder="" count="0" memberValueDatatype="130" unbalanced="0"/>
    <cacheHierarchy uniqueName="[IF].[nombre_grupo_jerarquia]" caption="nombre_grupo_jerarquia" attribute="1" defaultMemberUniqueName="[IF].[nombre_grupo_jerarquia].[All]" allUniqueName="[IF].[nombre_grupo_jerarquia].[All]" dimensionUniqueName="[IF]" displayFolder="" count="0" memberValueDatatype="130" unbalanced="0"/>
    <cacheHierarchy uniqueName="[IF].[tipo_cuenta]" caption="tipo_cuenta" attribute="1" defaultMemberUniqueName="[IF].[tipo_cuenta].[All]" allUniqueName="[IF].[tipo_cuenta].[All]" dimensionUniqueName="[IF]" displayFolder="" count="0" memberValueDatatype="130" unbalanced="0"/>
    <cacheHierarchy uniqueName="[IF].[nombre_tipo_cuenta]" caption="nombre_tipo_cuenta" attribute="1" defaultMemberUniqueName="[IF].[nombre_tipo_cuenta].[All]" allUniqueName="[IF].[nombre_tipo_cuenta].[All]" dimensionUniqueName="[IF]" displayFolder="" count="0" memberValueDatatype="130" unbalanced="0"/>
    <cacheHierarchy uniqueName="[IF].[tipo_unidad]" caption="tipo_unidad" attribute="1" defaultMemberUniqueName="[IF].[tipo_unidad].[All]" allUniqueName="[IF].[tipo_unidad].[All]" dimensionUniqueName="[IF]" displayFolder="" count="0" memberValueDatatype="130" unbalanced="0"/>
    <cacheHierarchy uniqueName="[IF].[nombre_tipo_unidad]" caption="nombre_tipo_unidad" attribute="1" defaultMemberUniqueName="[IF].[nombre_tipo_unidad].[All]" allUniqueName="[IF].[nombre_tipo_unidad].[All]" dimensionUniqueName="[IF]" displayFolder="" count="0" memberValueDatatype="130" unbalanced="0"/>
    <cacheHierarchy uniqueName="[IF].[tipo_programa]" caption="tipo_programa" attribute="1" defaultMemberUniqueName="[IF].[tipo_programa].[All]" allUniqueName="[IF].[tipo_programa].[All]" dimensionUniqueName="[IF]" displayFolder="" count="0" memberValueDatatype="130" unbalanced="0"/>
    <cacheHierarchy uniqueName="[IF].[nombre_tipo_programa]" caption="nombre_tipo_programa" attribute="1" defaultMemberUniqueName="[IF].[nombre_tipo_programa].[All]" allUniqueName="[IF].[nombre_tipo_programa].[All]" dimensionUniqueName="[IF]" displayFolder="" count="0" memberValueDatatype="130" unbalanced="0"/>
    <cacheHierarchy uniqueName="[IF].[nombre_metodologia]" caption="nombre_metodologia" attribute="1" defaultMemberUniqueName="[IF].[nombre_metodologia].[All]" allUniqueName="[IF].[nombre_metodologia].[All]" dimensionUniqueName="[IF]" displayFolder="" count="0" memberValueDatatype="130" unbalanced="0"/>
    <cacheHierarchy uniqueName="[IF].[tipo_departamento]" caption="tipo_departamento" attribute="1" defaultMemberUniqueName="[IF].[tipo_departamento].[All]" allUniqueName="[IF].[tipo_departamento].[All]" dimensionUniqueName="[IF]" displayFolder="" count="0" memberValueDatatype="130" unbalanced="0"/>
    <cacheHierarchy uniqueName="[IF].[horizonte]" caption="horizonte" attribute="1" defaultMemberUniqueName="[IF].[horizonte].[All]" allUniqueName="[IF].[horizonte].[All]" dimensionUniqueName="[IF]" displayFolder="" count="0" memberValueDatatype="130" unbalanced="0"/>
    <cacheHierarchy uniqueName="[poblacion_postgrado].[ano]" caption="ano" attribute="1" defaultMemberUniqueName="[poblacion_postgrado].[ano].[All]" allUniqueName="[poblacion_postgrado].[ano].[All]" dimensionUniqueName="[poblacion_postgrado]" displayFolder="" count="0" memberValueDatatype="20" unbalanced="0"/>
    <cacheHierarchy uniqueName="[poblacion_postgrado].[periodo]" caption="periodo" attribute="1" defaultMemberUniqueName="[poblacion_postgrado].[periodo].[All]" allUniqueName="[poblacion_postgrado].[periodo].[All]" dimensionUniqueName="[poblacion_postgrado]" displayFolder="" count="0" memberValueDatatype="130" unbalanced="0"/>
    <cacheHierarchy uniqueName="[poblacion_postgrado].[semestre]" caption="semestre" attribute="1" defaultMemberUniqueName="[poblacion_postgrado].[semestre].[All]" allUniqueName="[poblacion_postgrado].[semestre].[All]" dimensionUniqueName="[poblacion_postgrado]" displayFolder="" count="0" memberValueDatatype="20" unbalanced="0"/>
    <cacheHierarchy uniqueName="[poblacion_postgrado].[fecha]" caption="fecha" attribute="1" defaultMemberUniqueName="[poblacion_postgrado].[fecha].[All]" allUniqueName="[poblacion_postgrado].[fecha].[All]" dimensionUniqueName="[poblacion_postgrado]" displayFolder="" count="0" memberValueDatatype="130" unbalanced="0"/>
    <cacheHierarchy uniqueName="[poblacion_postgrado].[departamento_padre]" caption="departamento_padre" attribute="1" defaultMemberUniqueName="[poblacion_postgrado].[departamento_padre].[All]" allUniqueName="[poblacion_postgrado].[departamento_padre].[All]" dimensionUniqueName="[poblacion_postgrado]" displayFolder="" count="0" memberValueDatatype="130" unbalanced="0"/>
    <cacheHierarchy uniqueName="[poblacion_postgrado].[nombre_departamento_padre]" caption="nombre_departamento_padre" attribute="1" defaultMemberUniqueName="[poblacion_postgrado].[nombre_departamento_padre].[All]" allUniqueName="[poblacion_postgrado].[nombre_departamento_padre].[All]" dimensionUniqueName="[poblacion_postgrado]" displayFolder="" count="0" memberValueDatatype="130" unbalanced="0"/>
    <cacheHierarchy uniqueName="[poblacion_postgrado].[departamento]" caption="departamento" attribute="1" defaultMemberUniqueName="[poblacion_postgrado].[departamento].[All]" allUniqueName="[poblacion_postgrado].[departamento].[All]" dimensionUniqueName="[poblacion_postgrado]" displayFolder="" count="0" memberValueDatatype="130" unbalanced="0"/>
    <cacheHierarchy uniqueName="[poblacion_postgrado].[nombre_departamento_hijo]" caption="nombre_departamento_hijo" attribute="1" defaultMemberUniqueName="[poblacion_postgrado].[nombre_departamento_hijo].[All]" allUniqueName="[poblacion_postgrado].[nombre_departamento_hijo].[All]" dimensionUniqueName="[poblacion_postgrado]" displayFolder="" count="0" memberValueDatatype="130" unbalanced="0"/>
    <cacheHierarchy uniqueName="[poblacion_postgrado].[tipo_programa]" caption="tipo_programa" attribute="1" defaultMemberUniqueName="[poblacion_postgrado].[tipo_programa].[All]" allUniqueName="[poblacion_postgrado].[tipo_programa].[All]" dimensionUniqueName="[poblacion_postgrado]" displayFolder="" count="0" memberValueDatatype="130" unbalanced="0"/>
    <cacheHierarchy uniqueName="[poblacion_postgrado].[nombre_tipo_programa]" caption="nombre_tipo_programa" attribute="1" defaultMemberUniqueName="[poblacion_postgrado].[nombre_tipo_programa].[All]" allUniqueName="[poblacion_postgrado].[nombre_tipo_programa].[All]" dimensionUniqueName="[poblacion_postgrado]" displayFolder="" count="0" memberValueDatatype="130" unbalanced="0"/>
    <cacheHierarchy uniqueName="[poblacion_postgrado].[nombre_metodologia]" caption="nombre_metodologia" attribute="1" defaultMemberUniqueName="[poblacion_postgrado].[nombre_metodologia].[All]" allUniqueName="[poblacion_postgrado].[nombre_metodologia].[All]" dimensionUniqueName="[poblacion_postgrado]" displayFolder="" count="0" memberValueDatatype="130" unbalanced="0"/>
    <cacheHierarchy uniqueName="[poblacion_postgrado].[ppto_nuevos]" caption="ppto_nuevos" attribute="1" defaultMemberUniqueName="[poblacion_postgrado].[ppto_nuevos].[All]" allUniqueName="[poblacion_postgrado].[ppto_nuevos].[All]" dimensionUniqueName="[poblacion_postgrado]" displayFolder="" count="0" memberValueDatatype="20" unbalanced="0"/>
    <cacheHierarchy uniqueName="[poblacion_postgrado].[ppto_antiguos]" caption="ppto_antiguos" attribute="1" defaultMemberUniqueName="[poblacion_postgrado].[ppto_antiguos].[All]" allUniqueName="[poblacion_postgrado].[ppto_antiguos].[All]" dimensionUniqueName="[poblacion_postgrado]" displayFolder="" count="0" memberValueDatatype="20" unbalanced="0"/>
    <cacheHierarchy uniqueName="[poblacion_postgrado].[real_nuevos]" caption="real_nuevos" attribute="1" defaultMemberUniqueName="[poblacion_postgrado].[real_nuevos].[All]" allUniqueName="[poblacion_postgrado].[real_nuevos].[All]" dimensionUniqueName="[poblacion_postgrado]" displayFolder="" count="0" memberValueDatatype="20" unbalanced="0"/>
    <cacheHierarchy uniqueName="[poblacion_postgrado].[real_antiguos]" caption="real_antiguos" attribute="1" defaultMemberUniqueName="[poblacion_postgrado].[real_antiguos].[All]" allUniqueName="[poblacion_postgrado].[real_antiguos].[All]" dimensionUniqueName="[poblacion_postgrado]" displayFolder="" count="0" memberValueDatatype="20" unbalanced="0"/>
    <cacheHierarchy uniqueName="[poblacion_postgrado].[ppto]" caption="ppto" attribute="1" defaultMemberUniqueName="[poblacion_postgrado].[ppto].[All]" allUniqueName="[poblacion_postgrado].[ppto].[All]" dimensionUniqueName="[poblacion_postgrado]" displayFolder="" count="0" memberValueDatatype="20" unbalanced="0"/>
    <cacheHierarchy uniqueName="[poblacion_postgrado].[real]" caption="real" attribute="1" defaultMemberUniqueName="[poblacion_postgrado].[real].[All]" allUniqueName="[poblacion_postgrado].[real].[All]" dimensionUniqueName="[poblacion_postgrado]" displayFolder="" count="0" memberValueDatatype="20" unbalanced="0"/>
    <cacheHierarchy uniqueName="[poblacion_postgrado].[diferencia]" caption="diferencia" attribute="1" defaultMemberUniqueName="[poblacion_postgrado].[diferencia].[All]" allUniqueName="[poblacion_postgrado].[diferencia].[All]" dimensionUniqueName="[poblacion_postgrado]" displayFolder="" count="0" memberValueDatatype="20" unbalanced="0"/>
    <cacheHierarchy uniqueName="[poblacion_pregrado].[ano]" caption="ano" attribute="1" defaultMemberUniqueName="[poblacion_pregrado].[ano].[All]" allUniqueName="[poblacion_pregrado].[ano].[All]" dimensionUniqueName="[poblacion_pregrado]" displayFolder="" count="0" memberValueDatatype="20" unbalanced="0"/>
    <cacheHierarchy uniqueName="[poblacion_pregrado].[periodo]" caption="periodo" attribute="1" defaultMemberUniqueName="[poblacion_pregrado].[periodo].[All]" allUniqueName="[poblacion_pregrado].[periodo].[All]" dimensionUniqueName="[poblacion_pregrado]" displayFolder="" count="0" memberValueDatatype="130" unbalanced="0"/>
    <cacheHierarchy uniqueName="[poblacion_pregrado].[semestre]" caption="semestre" attribute="1" defaultMemberUniqueName="[poblacion_pregrado].[semestre].[All]" allUniqueName="[poblacion_pregrado].[semestre].[All]" dimensionUniqueName="[poblacion_pregrado]" displayFolder="" count="0" memberValueDatatype="20" unbalanced="0"/>
    <cacheHierarchy uniqueName="[poblacion_pregrado].[departamento_padre]" caption="departamento_padre" attribute="1" defaultMemberUniqueName="[poblacion_pregrado].[departamento_padre].[All]" allUniqueName="[poblacion_pregrado].[departamento_padre].[All]" dimensionUniqueName="[poblacion_pregrado]" displayFolder="" count="0" memberValueDatatype="130" unbalanced="0"/>
    <cacheHierarchy uniqueName="[poblacion_pregrado].[nombre_departamento_padre]" caption="nombre_departamento_padre" attribute="1" defaultMemberUniqueName="[poblacion_pregrado].[nombre_departamento_padre].[All]" allUniqueName="[poblacion_pregrado].[nombre_departamento_padre].[All]" dimensionUniqueName="[poblacion_pregrado]" displayFolder="" count="0" memberValueDatatype="130" unbalanced="0"/>
    <cacheHierarchy uniqueName="[poblacion_pregrado].[departamento]" caption="departamento" attribute="1" defaultMemberUniqueName="[poblacion_pregrado].[departamento].[All]" allUniqueName="[poblacion_pregrado].[departamento].[All]" dimensionUniqueName="[poblacion_pregrado]" displayFolder="" count="0" memberValueDatatype="130" unbalanced="0"/>
    <cacheHierarchy uniqueName="[poblacion_pregrado].[nombre_departamento_hijo]" caption="nombre_departamento_hijo" attribute="1" defaultMemberUniqueName="[poblacion_pregrado].[nombre_departamento_hijo].[All]" allUniqueName="[poblacion_pregrado].[nombre_departamento_hijo].[All]" dimensionUniqueName="[poblacion_pregrado]" displayFolder="" count="0" memberValueDatatype="130" unbalanced="0"/>
    <cacheHierarchy uniqueName="[poblacion_pregrado].[nombre_tipo_estudiante]" caption="nombre_tipo_estudiante" attribute="1" defaultMemberUniqueName="[poblacion_pregrado].[nombre_tipo_estudiante].[All]" allUniqueName="[poblacion_pregrado].[nombre_tipo_estudiante].[All]" dimensionUniqueName="[poblacion_pregrado]" displayFolder="" count="0" memberValueDatatype="130" unbalanced="0"/>
    <cacheHierarchy uniqueName="[poblacion_pregrado].[ppto_nuevos]" caption="ppto_nuevos" attribute="1" defaultMemberUniqueName="[poblacion_pregrado].[ppto_nuevos].[All]" allUniqueName="[poblacion_pregrado].[ppto_nuevos].[All]" dimensionUniqueName="[poblacion_pregrado]" displayFolder="" count="0" memberValueDatatype="5" unbalanced="0"/>
    <cacheHierarchy uniqueName="[poblacion_pregrado].[ppto_antiguos]" caption="ppto_antiguos" attribute="1" defaultMemberUniqueName="[poblacion_pregrado].[ppto_antiguos].[All]" allUniqueName="[poblacion_pregrado].[ppto_antiguos].[All]" dimensionUniqueName="[poblacion_pregrado]" displayFolder="" count="0" memberValueDatatype="5" unbalanced="0"/>
    <cacheHierarchy uniqueName="[poblacion_pregrado].[real_nuevos]" caption="real_nuevos" attribute="1" defaultMemberUniqueName="[poblacion_pregrado].[real_nuevos].[All]" allUniqueName="[poblacion_pregrado].[real_nuevos].[All]" dimensionUniqueName="[poblacion_pregrado]" displayFolder="" count="0" memberValueDatatype="5" unbalanced="0"/>
    <cacheHierarchy uniqueName="[poblacion_pregrado].[real_antiguos]" caption="real_antiguos" attribute="1" defaultMemberUniqueName="[poblacion_pregrado].[real_antiguos].[All]" allUniqueName="[poblacion_pregrado].[real_antiguos].[All]" dimensionUniqueName="[poblacion_pregrado]" displayFolder="" count="0" memberValueDatatype="5" unbalanced="0"/>
    <cacheHierarchy uniqueName="[poblacion_pregrado].[ppto]" caption="ppto" attribute="1" defaultMemberUniqueName="[poblacion_pregrado].[ppto].[All]" allUniqueName="[poblacion_pregrado].[ppto].[All]" dimensionUniqueName="[poblacion_pregrado]" displayFolder="" count="0" memberValueDatatype="5" unbalanced="0"/>
    <cacheHierarchy uniqueName="[poblacion_pregrado].[real]" caption="real" attribute="1" defaultMemberUniqueName="[poblacion_pregrado].[real].[All]" allUniqueName="[poblacion_pregrado].[real].[All]" dimensionUniqueName="[poblacion_pregrado]" displayFolder="" count="0" memberValueDatatype="5" unbalanced="0"/>
    <cacheHierarchy uniqueName="[poblacion_pregrado].[diferencia]" caption="diferencia" attribute="1" defaultMemberUniqueName="[poblacion_pregrado].[diferencia].[All]" allUniqueName="[poblacion_pregrado].[diferencia].[All]" dimensionUniqueName="[poblacion_pregrado]" displayFolder="" count="0" memberValueDatatype="5" unbalanced="0"/>
    <cacheHierarchy uniqueName="[Measures].[__XL_Count A2020]" caption="__XL_Count A2020" measure="1" displayFolder="" measureGroup="A2020" count="0" hidden="1"/>
    <cacheHierarchy uniqueName="[Measures].[__XL_Count IF]" caption="__XL_Count IF" measure="1" displayFolder="" measureGroup="IF" count="0" hidden="1"/>
    <cacheHierarchy uniqueName="[Measures].[__XL_Count poblacion_pregrado]" caption="__XL_Count poblacion_pregrado" measure="1" displayFolder="" measureGroup="poblacion_pregrado" count="0" hidden="1"/>
    <cacheHierarchy uniqueName="[Measures].[__XL_Count poblacion_postgrado]" caption="__XL_Count poblacion_postgrado" measure="1" displayFolder="" measureGroup="poblacion_postgrado" count="0" hidden="1"/>
    <cacheHierarchy uniqueName="[Measures].[__No measures defined]" caption="__No measures defined" measure="1" displayFolder="" count="0" hidden="1"/>
    <cacheHierarchy uniqueName="[Measures].[Suma de valor]" caption="Suma de valor" measure="1" displayFolder="" measureGroup="IF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real]" caption="Suma de real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al_nuevos]" caption="Suma de real_nuev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real_antiguos]" caption="Suma de real_antiguos" measure="1" displayFolder="" measureGroup="poblacion_pregrado" count="0" hidden="1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real 2]" caption="Suma de real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eal_nuevos 2]" caption="Suma de real_nuev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real_antiguos 2]" caption="Suma de real_antiguos 2" measure="1" displayFolder="" measureGroup="poblacion_postgrado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</cacheHierarchies>
  <kpis count="0"/>
  <dimensions count="5">
    <dimension name="A2020" uniqueName="[A2020]" caption="A2020"/>
    <dimension name="IF" uniqueName="[IF]" caption="IF"/>
    <dimension measure="1" name="Measures" uniqueName="[Measures]" caption="Measures"/>
    <dimension name="poblacion_postgrado" uniqueName="[poblacion_postgrado]" caption="poblacion_postgrado"/>
    <dimension name="poblacion_pregrado" uniqueName="[poblacion_pregrado]" caption="poblacion_pregrado"/>
  </dimensions>
  <measureGroups count="4">
    <measureGroup name="A2020" caption="A2020"/>
    <measureGroup name="IF" caption="IF"/>
    <measureGroup name="poblacion_postgrado" caption="poblacion_postgrado"/>
    <measureGroup name="poblacion_pregrado" caption="poblacion_pregrado"/>
  </measureGroups>
  <maps count="4">
    <map measureGroup="0" dimension="0"/>
    <map measureGroup="1" dimension="1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BA889F-C8F5-486E-BD12-FE9A997FB902}" name="TablaDinámica1" cacheId="0" applyNumberFormats="0" applyBorderFormats="0" applyFontFormats="0" applyPatternFormats="0" applyAlignmentFormats="0" applyWidthHeightFormats="1" dataCaption="Valores" tag="c1578371-977c-4460-bf14-83542c8c9014" updatedVersion="7" minRefreshableVersion="3" subtotalHiddenItems="1" colGrandTotals="0" itemPrintTitles="1" createdVersion="5" indent="0" outline="1" outlineData="1" multipleFieldFilters="0" rowHeaderCaption="PROGRAMAS">
  <location ref="A8:I14" firstHeaderRow="1" firstDataRow="3" firstDataCol="1"/>
  <pivotFields count="6"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Col" allDrilled="1" subtotalTop="0" showAll="0" dataSourceSort="1" defaultSubtotal="0" defaultAttributeDrillState="1">
      <items count="4">
        <item x="0"/>
        <item x="1"/>
        <item x="2"/>
        <item x="3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4">
    <i>
      <x/>
    </i>
    <i>
      <x v="1"/>
    </i>
    <i>
      <x v="2"/>
    </i>
    <i t="grand">
      <x/>
    </i>
  </rowItems>
  <colFields count="2">
    <field x="1"/>
    <field x="2"/>
  </colFields>
  <colItems count="8">
    <i>
      <x/>
      <x/>
    </i>
    <i r="1">
      <x v="1"/>
    </i>
    <i>
      <x v="1"/>
      <x/>
    </i>
    <i r="1">
      <x v="1"/>
    </i>
    <i>
      <x v="2"/>
      <x/>
    </i>
    <i r="1">
      <x v="1"/>
    </i>
    <i>
      <x v="3"/>
      <x/>
    </i>
    <i r="1">
      <x v="1"/>
    </i>
  </colItems>
  <dataFields count="1">
    <dataField name="Suma de real" fld="3" baseField="0" baseItem="0" numFmtId="3"/>
  </dataFields>
  <formats count="19">
    <format dxfId="60">
      <pivotArea outline="0" collapsedLevelsAreSubtotals="1" fieldPosition="0"/>
    </format>
    <format dxfId="59">
      <pivotArea dataOnly="0" labelOnly="1" fieldPosition="0">
        <references count="1">
          <reference field="1" count="0"/>
        </references>
      </pivotArea>
    </format>
    <format dxfId="58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57">
      <pivotArea dataOnly="0" labelOnly="1" fieldPosition="0">
        <references count="2">
          <reference field="1" count="1" selected="0">
            <x v="1"/>
          </reference>
          <reference field="2" count="0"/>
        </references>
      </pivotArea>
    </format>
    <format dxfId="56">
      <pivotArea dataOnly="0" labelOnly="1" fieldPosition="0">
        <references count="2">
          <reference field="1" count="1" selected="0">
            <x v="2"/>
          </reference>
          <reference field="2" count="0"/>
        </references>
      </pivotArea>
    </format>
    <format dxfId="55">
      <pivotArea dataOnly="0" labelOnly="1" fieldPosition="0">
        <references count="1">
          <reference field="1" count="0"/>
        </references>
      </pivotArea>
    </format>
    <format dxfId="54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53">
      <pivotArea dataOnly="0" labelOnly="1" fieldPosition="0">
        <references count="2">
          <reference field="1" count="1" selected="0">
            <x v="1"/>
          </reference>
          <reference field="2" count="0"/>
        </references>
      </pivotArea>
    </format>
    <format dxfId="52">
      <pivotArea dataOnly="0" labelOnly="1" fieldPosition="0">
        <references count="2">
          <reference field="1" count="1" selected="0">
            <x v="2"/>
          </reference>
          <reference field="2" count="0"/>
        </references>
      </pivotArea>
    </format>
    <format dxfId="51">
      <pivotArea outline="0" collapsedLevelsAreSubtotals="1" fieldPosition="0"/>
    </format>
    <format dxfId="50">
      <pivotArea field="0" type="button" dataOnly="0" labelOnly="1" outline="0" axis="axisRow" fieldPosition="0"/>
    </format>
    <format dxfId="49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48">
      <pivotArea dataOnly="0" labelOnly="1" fieldPosition="0">
        <references count="2">
          <reference field="1" count="1" selected="0">
            <x v="1"/>
          </reference>
          <reference field="2" count="0"/>
        </references>
      </pivotArea>
    </format>
    <format dxfId="47">
      <pivotArea dataOnly="0" labelOnly="1" fieldPosition="0">
        <references count="2">
          <reference field="1" count="1" selected="0">
            <x v="2"/>
          </reference>
          <reference field="2" count="0"/>
        </references>
      </pivotArea>
    </format>
    <format dxfId="46">
      <pivotArea dataOnly="0" labelOnly="1" fieldPosition="0">
        <references count="2">
          <reference field="1" count="1" selected="0">
            <x v="3"/>
          </reference>
          <reference field="2" count="0"/>
        </references>
      </pivotArea>
    </format>
    <format dxfId="45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44">
      <pivotArea dataOnly="0" labelOnly="1" fieldPosition="0">
        <references count="2">
          <reference field="1" count="1" selected="0">
            <x v="1"/>
          </reference>
          <reference field="2" count="0"/>
        </references>
      </pivotArea>
    </format>
    <format dxfId="43">
      <pivotArea dataOnly="0" labelOnly="1" fieldPosition="0">
        <references count="2">
          <reference field="1" count="1" selected="0">
            <x v="2"/>
          </reference>
          <reference field="2" count="0"/>
        </references>
      </pivotArea>
    </format>
    <format dxfId="42">
      <pivotArea dataOnly="0" labelOnly="1" fieldPosition="0">
        <references count="2">
          <reference field="1" count="1" selected="0">
            <x v="3"/>
          </reference>
          <reference field="2" count="0"/>
        </references>
      </pivotArea>
    </format>
  </formats>
  <pivotHierarchies count="9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IF].[departamento_jerarquia1].&amp;[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oblacion_pregrado].[nombre_departamento_padre].&amp;[FACULTAD DE COMUNICACION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6" showRowHeaders="1" showColHeaders="1" showRowStripes="0" showColStripes="0" showLastColumn="1"/>
  <rowHierarchiesUsage count="1">
    <rowHierarchyUsage hierarchyUsage="78"/>
  </rowHierarchiesUsage>
  <colHierarchiesUsage count="2">
    <colHierarchyUsage hierarchyUsage="72"/>
    <colHierarchyUsage hierarchyUsage="7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oblacion_pregrado]"/>
        <x15:activeTabTopLevelEntity name="[IF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544882-39EF-4CED-8F7D-353D93BDC1E6}" name="TablaDinámica2" cacheId="4" applyNumberFormats="0" applyBorderFormats="0" applyFontFormats="0" applyPatternFormats="0" applyAlignmentFormats="0" applyWidthHeightFormats="1" dataCaption="Valores" tag="ea5db453-cbd2-4f73-bde4-07acd5e572d8" updatedVersion="7" minRefreshableVersion="3" useAutoFormatting="1" subtotalHiddenItems="1" rowGrandTotals="0" colGrandTotals="0" itemPrintTitles="1" createdVersion="5" indent="0" compact="0" compactData="0" multipleFieldFilters="0">
  <location ref="K3:S367" firstHeaderRow="1" firstDataRow="2" firstDataCol="5" rowPageCount="1" colPageCount="1"/>
  <pivotFields count="8"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Col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dataField="1" compact="0" outline="0" subtotalTop="0" showAll="0" defaultSubtotal="0"/>
    <pivotField axis="axisRow" compact="0" allDrilled="1" outline="0" subtotalTop="0" showAll="0" dataSourceSort="1" defaultSubtotal="0" defaultAttributeDrillState="1">
      <items count="21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</items>
    </pivotField>
    <pivotField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</pivotFields>
  <rowFields count="5">
    <field x="1"/>
    <field x="6"/>
    <field x="7"/>
    <field x="2"/>
    <field x="4"/>
  </rowFields>
  <rowItems count="363">
    <i>
      <x/>
      <x/>
      <x/>
      <x/>
      <x/>
    </i>
    <i r="3">
      <x v="1"/>
      <x v="1"/>
    </i>
    <i r="4">
      <x/>
    </i>
    <i r="3">
      <x v="2"/>
      <x v="1"/>
    </i>
    <i r="4">
      <x/>
    </i>
    <i r="3">
      <x v="3"/>
      <x v="1"/>
    </i>
    <i r="4">
      <x/>
    </i>
    <i r="3">
      <x v="4"/>
      <x v="1"/>
    </i>
    <i r="4">
      <x/>
    </i>
    <i r="3">
      <x v="5"/>
      <x/>
    </i>
    <i r="3">
      <x v="6"/>
      <x v="1"/>
    </i>
    <i r="4">
      <x/>
    </i>
    <i r="1">
      <x v="1"/>
      <x v="1"/>
      <x v="2"/>
      <x v="1"/>
    </i>
    <i r="3">
      <x v="3"/>
      <x v="1"/>
    </i>
    <i r="3">
      <x v="4"/>
      <x v="1"/>
    </i>
    <i r="3">
      <x v="6"/>
      <x v="1"/>
    </i>
    <i r="1">
      <x v="2"/>
      <x v="2"/>
      <x/>
      <x/>
    </i>
    <i r="3">
      <x v="1"/>
      <x v="1"/>
    </i>
    <i r="4">
      <x/>
    </i>
    <i r="3">
      <x v="2"/>
      <x v="1"/>
    </i>
    <i r="4">
      <x/>
    </i>
    <i r="3">
      <x v="3"/>
      <x v="1"/>
    </i>
    <i r="4">
      <x/>
    </i>
    <i r="3">
      <x v="4"/>
      <x v="1"/>
    </i>
    <i r="4">
      <x/>
    </i>
    <i r="3">
      <x v="5"/>
      <x/>
    </i>
    <i r="3">
      <x v="6"/>
      <x v="1"/>
    </i>
    <i r="4">
      <x/>
    </i>
    <i r="1">
      <x v="3"/>
      <x v="3"/>
      <x v="6"/>
      <x v="1"/>
    </i>
    <i r="1">
      <x v="4"/>
      <x v="4"/>
      <x v="6"/>
      <x v="1"/>
    </i>
    <i r="1">
      <x v="5"/>
      <x v="5"/>
      <x/>
      <x/>
    </i>
    <i r="3">
      <x v="1"/>
      <x/>
    </i>
    <i r="3">
      <x v="2"/>
      <x/>
    </i>
    <i r="3">
      <x v="3"/>
      <x/>
    </i>
    <i r="3">
      <x v="4"/>
      <x/>
    </i>
    <i r="3">
      <x v="5"/>
      <x/>
    </i>
    <i r="3">
      <x v="6"/>
      <x/>
    </i>
    <i r="1">
      <x v="6"/>
      <x v="6"/>
      <x/>
      <x/>
    </i>
    <i r="3">
      <x v="1"/>
      <x/>
    </i>
    <i r="3">
      <x v="2"/>
      <x/>
    </i>
    <i r="3">
      <x v="3"/>
      <x/>
    </i>
    <i r="3">
      <x v="4"/>
      <x/>
    </i>
    <i r="3">
      <x v="5"/>
      <x/>
    </i>
    <i r="3">
      <x v="6"/>
      <x/>
    </i>
    <i r="1">
      <x v="7"/>
      <x v="7"/>
      <x v="6"/>
      <x v="1"/>
    </i>
    <i>
      <x v="1"/>
      <x/>
      <x/>
      <x v="6"/>
      <x v="1"/>
    </i>
    <i r="1">
      <x v="1"/>
      <x v="1"/>
      <x v="6"/>
      <x v="1"/>
    </i>
    <i r="1">
      <x v="3"/>
      <x v="3"/>
      <x v="6"/>
      <x v="1"/>
    </i>
    <i r="1">
      <x v="4"/>
      <x v="4"/>
      <x v="6"/>
      <x v="1"/>
    </i>
    <i r="1">
      <x v="8"/>
      <x v="8"/>
      <x v="6"/>
      <x v="1"/>
    </i>
    <i r="1">
      <x v="9"/>
      <x v="9"/>
      <x v="6"/>
      <x v="1"/>
    </i>
    <i r="1">
      <x v="7"/>
      <x v="7"/>
      <x v="6"/>
      <x v="1"/>
    </i>
    <i r="1">
      <x v="10"/>
      <x v="10"/>
      <x/>
      <x/>
    </i>
    <i r="3">
      <x v="1"/>
      <x v="1"/>
    </i>
    <i r="4">
      <x/>
    </i>
    <i r="3">
      <x v="2"/>
      <x v="1"/>
    </i>
    <i r="4">
      <x/>
    </i>
    <i r="3">
      <x v="3"/>
      <x v="1"/>
    </i>
    <i r="4">
      <x/>
    </i>
    <i r="3">
      <x v="4"/>
      <x v="1"/>
    </i>
    <i r="4">
      <x/>
    </i>
    <i r="3">
      <x v="5"/>
      <x/>
    </i>
    <i r="3">
      <x v="6"/>
      <x v="1"/>
    </i>
    <i r="4">
      <x/>
    </i>
    <i>
      <x v="2"/>
      <x/>
      <x/>
      <x v="6"/>
      <x v="1"/>
    </i>
    <i r="1">
      <x v="1"/>
      <x v="1"/>
      <x v="3"/>
      <x v="1"/>
    </i>
    <i r="3">
      <x v="4"/>
      <x v="1"/>
    </i>
    <i r="3">
      <x v="6"/>
      <x v="1"/>
    </i>
    <i r="1">
      <x v="3"/>
      <x v="3"/>
      <x/>
      <x/>
    </i>
    <i r="3">
      <x v="1"/>
      <x/>
    </i>
    <i r="3">
      <x v="2"/>
      <x v="1"/>
    </i>
    <i r="4">
      <x/>
    </i>
    <i r="3">
      <x v="3"/>
      <x v="1"/>
    </i>
    <i r="4">
      <x/>
    </i>
    <i r="3">
      <x v="4"/>
      <x v="1"/>
    </i>
    <i r="4">
      <x/>
    </i>
    <i r="3">
      <x v="5"/>
      <x/>
    </i>
    <i r="3">
      <x v="6"/>
      <x v="1"/>
    </i>
    <i r="4">
      <x/>
    </i>
    <i r="1">
      <x v="11"/>
      <x v="11"/>
      <x v="6"/>
      <x v="1"/>
    </i>
    <i r="1">
      <x v="4"/>
      <x v="4"/>
      <x v="6"/>
      <x v="1"/>
    </i>
    <i r="1">
      <x v="8"/>
      <x v="8"/>
      <x v="2"/>
      <x v="1"/>
    </i>
    <i r="3">
      <x v="3"/>
      <x v="1"/>
    </i>
    <i r="3">
      <x v="4"/>
      <x v="1"/>
    </i>
    <i r="3">
      <x v="6"/>
      <x v="1"/>
    </i>
    <i r="1">
      <x v="5"/>
      <x v="5"/>
      <x/>
      <x/>
    </i>
    <i r="3">
      <x v="1"/>
      <x/>
    </i>
    <i r="3">
      <x v="2"/>
      <x/>
    </i>
    <i r="3">
      <x v="3"/>
      <x/>
    </i>
    <i r="3">
      <x v="4"/>
      <x/>
    </i>
    <i r="3">
      <x v="5"/>
      <x/>
    </i>
    <i r="3">
      <x v="6"/>
      <x/>
    </i>
    <i r="1">
      <x v="12"/>
      <x v="12"/>
      <x v="6"/>
      <x v="1"/>
    </i>
    <i r="1">
      <x v="13"/>
      <x v="13"/>
      <x/>
      <x v="1"/>
    </i>
    <i r="4">
      <x/>
    </i>
    <i r="3">
      <x v="1"/>
      <x v="1"/>
    </i>
    <i r="4">
      <x/>
    </i>
    <i r="3">
      <x v="2"/>
      <x v="1"/>
    </i>
    <i r="4">
      <x/>
    </i>
    <i r="3">
      <x v="3"/>
      <x v="1"/>
    </i>
    <i r="4">
      <x/>
    </i>
    <i r="3">
      <x v="4"/>
      <x v="1"/>
    </i>
    <i r="4">
      <x/>
    </i>
    <i r="3">
      <x v="5"/>
      <x/>
    </i>
    <i r="3">
      <x v="6"/>
      <x v="1"/>
    </i>
    <i r="4">
      <x/>
    </i>
    <i r="1">
      <x v="9"/>
      <x v="9"/>
      <x/>
      <x/>
    </i>
    <i r="3">
      <x v="1"/>
      <x/>
    </i>
    <i r="3">
      <x v="2"/>
      <x/>
    </i>
    <i r="3">
      <x v="3"/>
      <x/>
    </i>
    <i r="3">
      <x v="4"/>
      <x/>
    </i>
    <i r="3">
      <x v="5"/>
      <x/>
    </i>
    <i r="3">
      <x v="6"/>
      <x v="1"/>
    </i>
    <i r="4">
      <x/>
    </i>
    <i r="1">
      <x v="14"/>
      <x v="14"/>
      <x/>
      <x v="1"/>
    </i>
    <i r="4">
      <x/>
    </i>
    <i r="3">
      <x v="1"/>
      <x v="1"/>
    </i>
    <i r="4">
      <x/>
    </i>
    <i r="3">
      <x v="2"/>
      <x v="1"/>
    </i>
    <i r="4">
      <x/>
    </i>
    <i r="3">
      <x v="3"/>
      <x v="1"/>
    </i>
    <i r="4">
      <x/>
    </i>
    <i r="3">
      <x v="4"/>
      <x v="1"/>
    </i>
    <i r="4">
      <x/>
    </i>
    <i r="3">
      <x v="5"/>
      <x/>
    </i>
    <i r="3">
      <x v="6"/>
      <x v="1"/>
    </i>
    <i r="4">
      <x/>
    </i>
    <i r="1">
      <x v="15"/>
      <x v="15"/>
      <x/>
      <x v="1"/>
    </i>
    <i r="4">
      <x/>
    </i>
    <i r="3">
      <x v="1"/>
      <x v="1"/>
    </i>
    <i r="4">
      <x/>
    </i>
    <i r="3">
      <x v="2"/>
      <x v="1"/>
    </i>
    <i r="4">
      <x/>
    </i>
    <i r="3">
      <x v="3"/>
      <x v="1"/>
    </i>
    <i r="4">
      <x/>
    </i>
    <i r="3">
      <x v="4"/>
      <x v="1"/>
    </i>
    <i r="4">
      <x/>
    </i>
    <i r="3">
      <x v="5"/>
      <x/>
    </i>
    <i r="3">
      <x v="6"/>
      <x v="1"/>
    </i>
    <i r="4">
      <x/>
    </i>
    <i r="1">
      <x v="16"/>
      <x v="16"/>
      <x/>
      <x v="1"/>
    </i>
    <i r="4">
      <x/>
    </i>
    <i r="3">
      <x v="1"/>
      <x v="1"/>
    </i>
    <i r="4">
      <x/>
    </i>
    <i r="3">
      <x v="2"/>
      <x v="1"/>
    </i>
    <i r="4">
      <x/>
    </i>
    <i r="3">
      <x v="3"/>
      <x v="1"/>
    </i>
    <i r="4">
      <x/>
    </i>
    <i r="3">
      <x v="4"/>
      <x v="1"/>
    </i>
    <i r="4">
      <x/>
    </i>
    <i r="3">
      <x v="5"/>
      <x/>
    </i>
    <i r="3">
      <x v="6"/>
      <x v="1"/>
    </i>
    <i r="4">
      <x/>
    </i>
    <i r="1">
      <x v="6"/>
      <x v="6"/>
      <x/>
      <x/>
    </i>
    <i r="3">
      <x v="1"/>
      <x/>
    </i>
    <i r="3">
      <x v="2"/>
      <x/>
    </i>
    <i r="3">
      <x v="3"/>
      <x/>
    </i>
    <i r="3">
      <x v="4"/>
      <x/>
    </i>
    <i r="3">
      <x v="5"/>
      <x/>
    </i>
    <i r="3">
      <x v="6"/>
      <x v="1"/>
    </i>
    <i r="4">
      <x/>
    </i>
    <i r="1">
      <x v="17"/>
      <x v="17"/>
      <x/>
      <x/>
    </i>
    <i r="3">
      <x v="1"/>
      <x/>
    </i>
    <i r="3">
      <x v="2"/>
      <x/>
    </i>
    <i r="3">
      <x v="3"/>
      <x/>
    </i>
    <i r="3">
      <x v="4"/>
      <x/>
    </i>
    <i r="3">
      <x v="5"/>
      <x/>
    </i>
    <i r="3">
      <x v="6"/>
      <x v="1"/>
    </i>
    <i r="4">
      <x/>
    </i>
    <i r="1">
      <x v="18"/>
      <x v="18"/>
      <x/>
      <x v="1"/>
    </i>
    <i r="4">
      <x/>
    </i>
    <i r="3">
      <x v="1"/>
      <x v="1"/>
    </i>
    <i r="4">
      <x/>
    </i>
    <i r="3">
      <x v="2"/>
      <x v="1"/>
    </i>
    <i r="4">
      <x/>
    </i>
    <i r="3">
      <x v="3"/>
      <x v="1"/>
    </i>
    <i r="4">
      <x/>
    </i>
    <i r="3">
      <x v="4"/>
      <x v="1"/>
    </i>
    <i r="4">
      <x/>
    </i>
    <i r="3">
      <x v="5"/>
      <x/>
    </i>
    <i r="3">
      <x v="6"/>
      <x v="1"/>
    </i>
    <i r="4">
      <x/>
    </i>
    <i r="1">
      <x v="7"/>
      <x v="7"/>
      <x/>
      <x v="1"/>
    </i>
    <i r="4">
      <x/>
    </i>
    <i r="3">
      <x v="1"/>
      <x v="1"/>
    </i>
    <i r="4">
      <x/>
    </i>
    <i r="3">
      <x v="2"/>
      <x v="1"/>
    </i>
    <i r="4">
      <x/>
    </i>
    <i r="3">
      <x v="3"/>
      <x v="1"/>
    </i>
    <i r="4">
      <x/>
    </i>
    <i r="3">
      <x v="4"/>
      <x v="1"/>
    </i>
    <i r="4">
      <x/>
    </i>
    <i r="3">
      <x v="5"/>
      <x/>
    </i>
    <i r="3">
      <x v="6"/>
      <x v="1"/>
    </i>
    <i r="4">
      <x/>
    </i>
    <i r="1">
      <x v="10"/>
      <x v="10"/>
      <x/>
      <x/>
    </i>
    <i r="3">
      <x v="1"/>
      <x v="1"/>
    </i>
    <i r="4">
      <x/>
    </i>
    <i r="3">
      <x v="2"/>
      <x v="1"/>
    </i>
    <i r="4">
      <x/>
    </i>
    <i r="3">
      <x v="3"/>
      <x v="1"/>
    </i>
    <i r="4">
      <x/>
    </i>
    <i r="3">
      <x v="4"/>
      <x v="1"/>
    </i>
    <i r="4">
      <x/>
    </i>
    <i r="3">
      <x v="5"/>
      <x/>
    </i>
    <i r="3">
      <x v="6"/>
      <x v="1"/>
    </i>
    <i r="4">
      <x/>
    </i>
    <i>
      <x v="3"/>
      <x/>
      <x/>
      <x v="6"/>
      <x v="1"/>
    </i>
    <i r="1">
      <x v="1"/>
      <x v="1"/>
      <x v="6"/>
      <x v="1"/>
    </i>
    <i r="1">
      <x v="3"/>
      <x v="3"/>
      <x v="6"/>
      <x v="1"/>
    </i>
    <i r="1">
      <x v="4"/>
      <x v="4"/>
      <x v="6"/>
      <x v="1"/>
    </i>
    <i r="1">
      <x v="8"/>
      <x v="8"/>
      <x v="2"/>
      <x v="1"/>
    </i>
    <i r="3">
      <x v="3"/>
      <x v="1"/>
    </i>
    <i r="3">
      <x v="4"/>
      <x v="1"/>
    </i>
    <i r="3">
      <x v="6"/>
      <x v="1"/>
    </i>
    <i r="1">
      <x v="19"/>
      <x v="19"/>
      <x v="6"/>
      <x v="1"/>
    </i>
    <i r="1">
      <x v="12"/>
      <x v="12"/>
      <x v="2"/>
      <x v="1"/>
    </i>
    <i r="3">
      <x v="3"/>
      <x v="1"/>
    </i>
    <i r="3">
      <x v="4"/>
      <x v="1"/>
    </i>
    <i r="3">
      <x v="6"/>
      <x v="1"/>
    </i>
    <i r="1">
      <x v="9"/>
      <x v="9"/>
      <x/>
      <x/>
    </i>
    <i r="3">
      <x v="1"/>
      <x/>
    </i>
    <i r="3">
      <x v="2"/>
      <x/>
    </i>
    <i r="3">
      <x v="3"/>
      <x/>
    </i>
    <i r="3">
      <x v="4"/>
      <x/>
    </i>
    <i r="3">
      <x v="5"/>
      <x/>
    </i>
    <i r="3">
      <x v="6"/>
      <x v="1"/>
    </i>
    <i r="4">
      <x/>
    </i>
    <i r="1">
      <x v="6"/>
      <x v="6"/>
      <x v="6"/>
      <x v="1"/>
    </i>
    <i r="1">
      <x v="17"/>
      <x v="17"/>
      <x v="6"/>
      <x v="1"/>
    </i>
    <i r="1">
      <x v="7"/>
      <x v="7"/>
      <x/>
      <x v="1"/>
    </i>
    <i r="4">
      <x/>
    </i>
    <i r="3">
      <x v="1"/>
      <x v="1"/>
    </i>
    <i r="4">
      <x/>
    </i>
    <i r="3">
      <x v="2"/>
      <x v="1"/>
    </i>
    <i r="4">
      <x/>
    </i>
    <i r="3">
      <x v="3"/>
      <x v="1"/>
    </i>
    <i r="4">
      <x/>
    </i>
    <i r="3">
      <x v="4"/>
      <x v="1"/>
    </i>
    <i r="4">
      <x/>
    </i>
    <i r="3">
      <x v="5"/>
      <x/>
    </i>
    <i r="3">
      <x v="6"/>
      <x v="1"/>
    </i>
    <i r="4">
      <x/>
    </i>
    <i>
      <x v="4"/>
      <x/>
      <x/>
      <x/>
      <x/>
    </i>
    <i r="3">
      <x v="1"/>
      <x/>
    </i>
    <i r="3">
      <x v="2"/>
      <x/>
    </i>
    <i r="3">
      <x v="3"/>
      <x/>
    </i>
    <i r="3">
      <x v="4"/>
      <x/>
    </i>
    <i r="3">
      <x v="5"/>
      <x/>
    </i>
    <i r="3">
      <x v="6"/>
      <x v="1"/>
    </i>
    <i r="4">
      <x/>
    </i>
    <i r="1">
      <x v="1"/>
      <x v="1"/>
      <x v="6"/>
      <x v="1"/>
    </i>
    <i r="1">
      <x v="2"/>
      <x v="2"/>
      <x/>
      <x/>
    </i>
    <i r="3">
      <x v="1"/>
      <x v="1"/>
    </i>
    <i r="4">
      <x/>
    </i>
    <i r="3">
      <x v="2"/>
      <x v="1"/>
    </i>
    <i r="4">
      <x/>
    </i>
    <i r="3">
      <x v="3"/>
      <x v="1"/>
    </i>
    <i r="4">
      <x/>
    </i>
    <i r="3">
      <x v="4"/>
      <x v="1"/>
    </i>
    <i r="4">
      <x/>
    </i>
    <i r="3">
      <x v="5"/>
      <x/>
    </i>
    <i r="3">
      <x v="6"/>
      <x v="1"/>
    </i>
    <i r="4">
      <x/>
    </i>
    <i r="1">
      <x v="20"/>
      <x v="20"/>
      <x/>
      <x/>
    </i>
    <i r="3">
      <x v="1"/>
      <x/>
    </i>
    <i r="3">
      <x v="2"/>
      <x/>
    </i>
    <i r="3">
      <x v="3"/>
      <x/>
    </i>
    <i r="3">
      <x v="4"/>
      <x/>
    </i>
    <i r="3">
      <x v="5"/>
      <x/>
    </i>
    <i r="3">
      <x v="6"/>
      <x/>
    </i>
    <i r="1">
      <x v="3"/>
      <x v="3"/>
      <x/>
      <x/>
    </i>
    <i r="3">
      <x v="1"/>
      <x/>
    </i>
    <i r="3">
      <x v="2"/>
      <x/>
    </i>
    <i r="3">
      <x v="3"/>
      <x/>
    </i>
    <i r="3">
      <x v="4"/>
      <x/>
    </i>
    <i r="3">
      <x v="5"/>
      <x/>
    </i>
    <i r="3">
      <x v="6"/>
      <x v="1"/>
    </i>
    <i r="4">
      <x/>
    </i>
    <i r="1">
      <x v="11"/>
      <x v="11"/>
      <x v="6"/>
      <x v="1"/>
    </i>
    <i r="1">
      <x v="4"/>
      <x v="4"/>
      <x v="6"/>
      <x v="1"/>
    </i>
    <i r="1">
      <x v="8"/>
      <x v="8"/>
      <x v="6"/>
      <x v="1"/>
    </i>
    <i r="1">
      <x v="5"/>
      <x v="5"/>
      <x/>
      <x/>
    </i>
    <i r="3">
      <x v="1"/>
      <x/>
    </i>
    <i r="3">
      <x v="2"/>
      <x/>
    </i>
    <i r="3">
      <x v="3"/>
      <x/>
    </i>
    <i r="3">
      <x v="4"/>
      <x/>
    </i>
    <i r="3">
      <x v="5"/>
      <x/>
    </i>
    <i r="3">
      <x v="6"/>
      <x/>
    </i>
    <i r="1">
      <x v="12"/>
      <x v="12"/>
      <x/>
      <x/>
    </i>
    <i r="3">
      <x v="1"/>
      <x/>
    </i>
    <i r="3">
      <x v="2"/>
      <x/>
    </i>
    <i r="3">
      <x v="3"/>
      <x/>
    </i>
    <i r="3">
      <x v="4"/>
      <x/>
    </i>
    <i r="3">
      <x v="5"/>
      <x/>
    </i>
    <i r="3">
      <x v="6"/>
      <x v="1"/>
    </i>
    <i r="4">
      <x/>
    </i>
    <i r="1">
      <x v="9"/>
      <x v="9"/>
      <x/>
      <x/>
    </i>
    <i r="3">
      <x v="1"/>
      <x/>
    </i>
    <i r="3">
      <x v="2"/>
      <x/>
    </i>
    <i r="3">
      <x v="3"/>
      <x/>
    </i>
    <i r="3">
      <x v="4"/>
      <x/>
    </i>
    <i r="3">
      <x v="5"/>
      <x/>
    </i>
    <i r="3">
      <x v="6"/>
      <x v="1"/>
    </i>
    <i r="4">
      <x/>
    </i>
    <i r="1">
      <x v="6"/>
      <x v="6"/>
      <x/>
      <x/>
    </i>
    <i r="3">
      <x v="1"/>
      <x/>
    </i>
    <i r="3">
      <x v="2"/>
      <x/>
    </i>
    <i r="3">
      <x v="3"/>
      <x/>
    </i>
    <i r="3">
      <x v="4"/>
      <x/>
    </i>
    <i r="3">
      <x v="5"/>
      <x/>
    </i>
    <i r="3">
      <x v="6"/>
      <x v="1"/>
    </i>
    <i r="4">
      <x/>
    </i>
    <i r="1">
      <x v="17"/>
      <x v="17"/>
      <x/>
      <x/>
    </i>
    <i r="3">
      <x v="1"/>
      <x/>
    </i>
    <i r="3">
      <x v="2"/>
      <x/>
    </i>
    <i r="3">
      <x v="3"/>
      <x/>
    </i>
    <i r="3">
      <x v="4"/>
      <x/>
    </i>
    <i r="3">
      <x v="5"/>
      <x/>
    </i>
    <i r="3">
      <x v="6"/>
      <x v="1"/>
    </i>
    <i r="4">
      <x/>
    </i>
    <i r="1">
      <x v="7"/>
      <x v="7"/>
      <x v="2"/>
      <x v="1"/>
    </i>
    <i r="3">
      <x v="3"/>
      <x v="1"/>
    </i>
    <i r="3">
      <x v="4"/>
      <x v="1"/>
    </i>
    <i r="3">
      <x v="6"/>
      <x v="1"/>
    </i>
    <i>
      <x v="5"/>
      <x v="1"/>
      <x v="1"/>
      <x/>
      <x/>
    </i>
    <i r="3">
      <x v="1"/>
      <x/>
    </i>
    <i r="3">
      <x v="2"/>
      <x/>
    </i>
    <i r="3">
      <x v="3"/>
      <x/>
    </i>
    <i r="3">
      <x v="4"/>
      <x/>
    </i>
    <i r="3">
      <x v="5"/>
      <x/>
    </i>
    <i r="3">
      <x v="6"/>
      <x/>
    </i>
    <i r="1">
      <x v="20"/>
      <x v="20"/>
      <x/>
      <x/>
    </i>
    <i r="3">
      <x v="1"/>
      <x/>
    </i>
    <i r="3">
      <x v="2"/>
      <x/>
    </i>
    <i r="3">
      <x v="3"/>
      <x/>
    </i>
    <i r="3">
      <x v="4"/>
      <x/>
    </i>
    <i r="3">
      <x v="5"/>
      <x/>
    </i>
    <i r="3">
      <x v="6"/>
      <x/>
    </i>
    <i r="1">
      <x v="7"/>
      <x v="7"/>
      <x/>
      <x v="1"/>
    </i>
    <i r="4">
      <x/>
    </i>
    <i r="3">
      <x v="1"/>
      <x v="1"/>
    </i>
    <i r="4">
      <x/>
    </i>
    <i r="3">
      <x v="2"/>
      <x v="1"/>
    </i>
    <i r="4">
      <x/>
    </i>
    <i r="3">
      <x v="3"/>
      <x v="1"/>
    </i>
    <i r="4">
      <x/>
    </i>
    <i r="3">
      <x v="4"/>
      <x v="1"/>
    </i>
    <i r="4">
      <x/>
    </i>
    <i r="3">
      <x v="5"/>
      <x/>
    </i>
    <i r="3">
      <x v="6"/>
      <x v="1"/>
    </i>
    <i r="4">
      <x/>
    </i>
    <i r="1">
      <x v="10"/>
      <x v="10"/>
      <x/>
      <x/>
    </i>
    <i r="3">
      <x v="1"/>
      <x v="1"/>
    </i>
    <i r="4">
      <x/>
    </i>
    <i r="3">
      <x v="2"/>
      <x v="1"/>
    </i>
    <i r="4">
      <x/>
    </i>
    <i r="3">
      <x v="3"/>
      <x v="1"/>
    </i>
    <i r="4">
      <x/>
    </i>
    <i r="3">
      <x v="4"/>
      <x v="1"/>
    </i>
    <i r="4">
      <x/>
    </i>
    <i r="3">
      <x v="5"/>
      <x/>
    </i>
    <i r="3">
      <x v="6"/>
      <x/>
    </i>
  </rowItems>
  <colFields count="1">
    <field x="3"/>
  </colFields>
  <colItems count="4">
    <i>
      <x/>
    </i>
    <i>
      <x v="1"/>
    </i>
    <i>
      <x v="2"/>
    </i>
    <i>
      <x v="3"/>
    </i>
  </colItems>
  <pageFields count="1">
    <pageField fld="0" hier="37" name="[IF].[departamento_jerarquia1].&amp;[281]" cap="281"/>
  </pageFields>
  <dataFields count="1">
    <dataField name="Suma de valor" fld="5" baseField="4" baseItem="0" numFmtId="38"/>
  </dataFields>
  <pivotHierarchies count="9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35" level="1">
        <member name=""/>
        <member name=""/>
        <member name="[IF].[cuenta_ppto].&amp;[7417010003]"/>
        <member name="[IF].[cuenta_ppto].&amp;[7417010004]"/>
        <member name="[IF].[cuenta_ppto].&amp;[7417010005]"/>
        <member name="[IF].[cuenta_ppto].&amp;[7417010006]"/>
        <member name="[IF].[cuenta_ppto].&amp;[7417010007]"/>
        <member name="[IF].[cuenta_ppto].&amp;[7417010008]"/>
        <member name="[IF].[cuenta_ppto].&amp;[7417010009]"/>
        <member name="[IF].[cuenta_ppto].&amp;[7417010010]"/>
        <member name="[IF].[cuenta_ppto].&amp;[7417010011]"/>
        <member name="[IF].[cuenta_ppto].&amp;[7417010012]"/>
        <member name="[IF].[cuenta_ppto].&amp;[7417010013]"/>
        <member name=""/>
        <member name="[IF].[cuenta_ppto].&amp;[7417010015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IF].[cuenta_ppto].&amp;[7518010017]"/>
        <member name="[IF].[cuenta_ppto].&amp;[7518010018]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IF].[departamento_jerarquia1].&amp;[28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5">
    <rowHierarchyUsage hierarchyUsage="38"/>
    <rowHierarchyUsage hierarchyUsage="29"/>
    <rowHierarchyUsage hierarchyUsage="30"/>
    <rowHierarchyUsage hierarchyUsage="28"/>
    <rowHierarchyUsage hierarchyUsage="34"/>
  </rowHierarchiesUsage>
  <colHierarchiesUsage count="1">
    <colHierarchyUsage hierarchyUsage="2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F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658BA9-61EB-4862-8D87-B1B86C90535A}" name="TablaDinámica6" cacheId="7" applyNumberFormats="0" applyBorderFormats="0" applyFontFormats="0" applyPatternFormats="0" applyAlignmentFormats="0" applyWidthHeightFormats="1" dataCaption="Valores" tag="60ff5255-0596-4726-9f8a-28526efe6b8a" updatedVersion="7" minRefreshableVersion="3" useAutoFormatting="1" subtotalHiddenItems="1" rowGrandTotals="0" colGrandTotals="0" itemPrintTitles="1" createdVersion="5" indent="0" compact="0" compactData="0" multipleFieldFilters="0">
  <location ref="AW5:BD142" firstHeaderRow="1" firstDataRow="2" firstDataCol="4" rowPageCount="3" colPageCount="1"/>
  <pivotFields count="9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Col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dataField="1" compact="0" outline="0" subtotalTop="0" showAll="0" defaultSubtotal="0"/>
    <pivotField axis="axisRow" compact="0" allDrilled="1" outline="0" subtotalTop="0" showAll="0" dataSourceSort="1" defaultSubtotal="0" defaultAttributeDrillState="1">
      <items count="3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</items>
    </pivotField>
    <pivotField axis="axisRow" compact="0" allDrilled="1" outline="0" subtotalTop="0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axis="axisPage" compact="0" allDrilled="1" outline="0" subtotalTop="0" showAll="0" dataSourceSort="1" defaultSubtotal="0" defaultAttributeDrillState="1"/>
  </pivotFields>
  <rowFields count="4">
    <field x="6"/>
    <field x="7"/>
    <field x="2"/>
    <field x="4"/>
  </rowFields>
  <rowItems count="136">
    <i>
      <x/>
      <x/>
      <x/>
      <x/>
    </i>
    <i>
      <x v="1"/>
      <x v="1"/>
      <x v="1"/>
      <x/>
    </i>
    <i r="2">
      <x v="2"/>
      <x/>
    </i>
    <i r="2">
      <x/>
      <x/>
    </i>
    <i>
      <x v="2"/>
      <x v="2"/>
      <x v="3"/>
      <x v="1"/>
    </i>
    <i r="2">
      <x v="4"/>
      <x v="1"/>
    </i>
    <i r="2">
      <x v="5"/>
      <x/>
    </i>
    <i r="3">
      <x v="1"/>
    </i>
    <i r="2">
      <x v="1"/>
      <x/>
    </i>
    <i r="3">
      <x v="1"/>
    </i>
    <i r="2">
      <x v="2"/>
      <x/>
    </i>
    <i r="3">
      <x v="1"/>
    </i>
    <i r="2">
      <x v="6"/>
      <x v="1"/>
    </i>
    <i r="2">
      <x/>
      <x/>
    </i>
    <i r="3">
      <x v="1"/>
    </i>
    <i>
      <x v="3"/>
      <x v="3"/>
      <x/>
      <x/>
    </i>
    <i>
      <x v="4"/>
      <x v="4"/>
      <x/>
      <x/>
    </i>
    <i>
      <x v="5"/>
      <x v="5"/>
      <x v="5"/>
      <x/>
    </i>
    <i r="2">
      <x v="1"/>
      <x/>
    </i>
    <i r="2">
      <x v="2"/>
      <x/>
    </i>
    <i r="2">
      <x/>
      <x/>
    </i>
    <i>
      <x v="6"/>
      <x v="6"/>
      <x/>
      <x/>
    </i>
    <i>
      <x v="7"/>
      <x v="7"/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1"/>
      <x/>
    </i>
    <i r="3">
      <x v="1"/>
    </i>
    <i r="2">
      <x v="2"/>
      <x/>
    </i>
    <i r="3">
      <x v="1"/>
    </i>
    <i r="2">
      <x v="6"/>
      <x v="1"/>
    </i>
    <i r="2">
      <x/>
      <x/>
    </i>
    <i r="3">
      <x v="1"/>
    </i>
    <i>
      <x v="8"/>
      <x v="8"/>
      <x v="3"/>
      <x v="1"/>
    </i>
    <i r="2">
      <x v="4"/>
      <x v="1"/>
    </i>
    <i r="2">
      <x v="5"/>
      <x v="1"/>
    </i>
    <i r="2">
      <x v="1"/>
      <x v="1"/>
    </i>
    <i r="2">
      <x v="2"/>
      <x v="1"/>
    </i>
    <i r="2">
      <x v="6"/>
      <x v="1"/>
    </i>
    <i r="2">
      <x/>
      <x/>
    </i>
    <i r="3">
      <x v="1"/>
    </i>
    <i>
      <x v="9"/>
      <x v="9"/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1"/>
      <x/>
    </i>
    <i r="3">
      <x v="1"/>
    </i>
    <i r="2">
      <x v="2"/>
      <x/>
    </i>
    <i r="3">
      <x v="1"/>
    </i>
    <i r="2">
      <x v="6"/>
      <x v="1"/>
    </i>
    <i r="2">
      <x/>
      <x/>
    </i>
    <i r="3">
      <x v="1"/>
    </i>
    <i>
      <x v="10"/>
      <x v="10"/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1"/>
      <x/>
    </i>
    <i r="3">
      <x v="1"/>
    </i>
    <i r="2">
      <x v="2"/>
      <x/>
    </i>
    <i r="3">
      <x v="1"/>
    </i>
    <i r="2">
      <x v="6"/>
      <x v="1"/>
    </i>
    <i r="2">
      <x/>
      <x/>
    </i>
    <i r="3">
      <x v="1"/>
    </i>
    <i>
      <x v="11"/>
      <x v="11"/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1"/>
      <x/>
    </i>
    <i r="3">
      <x v="1"/>
    </i>
    <i r="2">
      <x v="2"/>
      <x/>
    </i>
    <i r="3">
      <x v="1"/>
    </i>
    <i r="2">
      <x v="6"/>
      <x v="1"/>
    </i>
    <i r="2">
      <x/>
      <x/>
    </i>
    <i r="3">
      <x v="1"/>
    </i>
    <i>
      <x v="12"/>
      <x v="12"/>
      <x v="3"/>
      <x v="1"/>
    </i>
    <i r="2">
      <x v="4"/>
      <x v="1"/>
    </i>
    <i r="2">
      <x v="5"/>
      <x v="1"/>
    </i>
    <i r="2">
      <x v="1"/>
      <x v="1"/>
    </i>
    <i r="2">
      <x v="2"/>
      <x v="1"/>
    </i>
    <i r="2">
      <x v="6"/>
      <x v="1"/>
    </i>
    <i r="2">
      <x/>
      <x/>
    </i>
    <i r="3">
      <x v="1"/>
    </i>
    <i>
      <x v="13"/>
      <x v="13"/>
      <x v="3"/>
      <x v="1"/>
    </i>
    <i r="2">
      <x v="4"/>
      <x v="1"/>
    </i>
    <i r="2">
      <x v="5"/>
      <x v="1"/>
    </i>
    <i r="2">
      <x v="1"/>
      <x v="1"/>
    </i>
    <i r="2">
      <x v="2"/>
      <x v="1"/>
    </i>
    <i r="2">
      <x v="6"/>
      <x v="1"/>
    </i>
    <i r="2">
      <x/>
      <x/>
    </i>
    <i r="3">
      <x v="1"/>
    </i>
    <i>
      <x v="14"/>
      <x v="14"/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1"/>
      <x/>
    </i>
    <i r="3">
      <x v="1"/>
    </i>
    <i r="2">
      <x v="2"/>
      <x/>
    </i>
    <i r="3">
      <x v="1"/>
    </i>
    <i r="2">
      <x v="6"/>
      <x v="1"/>
    </i>
    <i r="2">
      <x/>
      <x/>
    </i>
    <i r="3">
      <x v="1"/>
    </i>
    <i>
      <x v="15"/>
      <x v="15"/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1"/>
      <x/>
    </i>
    <i r="3">
      <x v="1"/>
    </i>
    <i r="2">
      <x v="2"/>
      <x/>
    </i>
    <i r="3">
      <x v="1"/>
    </i>
    <i r="2">
      <x v="6"/>
      <x v="1"/>
    </i>
    <i r="2">
      <x/>
      <x/>
    </i>
    <i r="3">
      <x v="1"/>
    </i>
    <i>
      <x v="16"/>
      <x v="16"/>
      <x v="3"/>
      <x v="1"/>
    </i>
    <i r="2">
      <x v="4"/>
      <x/>
    </i>
    <i r="3">
      <x v="1"/>
    </i>
    <i r="2">
      <x v="5"/>
      <x/>
    </i>
    <i r="3">
      <x v="1"/>
    </i>
    <i r="2">
      <x v="1"/>
      <x/>
    </i>
    <i r="3">
      <x v="1"/>
    </i>
    <i r="2">
      <x v="2"/>
      <x/>
    </i>
    <i r="3">
      <x v="1"/>
    </i>
    <i r="2">
      <x v="6"/>
      <x v="1"/>
    </i>
    <i r="2">
      <x/>
      <x/>
    </i>
    <i r="3">
      <x v="1"/>
    </i>
  </rowItems>
  <colFields count="1">
    <field x="3"/>
  </colFields>
  <colItems count="4">
    <i>
      <x/>
    </i>
    <i>
      <x v="1"/>
    </i>
    <i>
      <x v="2"/>
    </i>
    <i>
      <x v="3"/>
    </i>
  </colItems>
  <pageFields count="3">
    <pageField fld="0" hier="37" name="[IF].[departamento_jerarquia1].&amp;[281]" cap="281"/>
    <pageField fld="1" hier="38" name="[IF].[departamento_jerarquia2].[All]" cap="All"/>
    <pageField fld="8" hier="51" name="[IF].[nombre_metodologia].&amp;[VIRTUAL]" cap="VIRTUAL"/>
  </pageFields>
  <dataFields count="1">
    <dataField name="Suma de valor" fld="5" baseField="4" baseItem="0" numFmtId="38"/>
  </dataFields>
  <pivotHierarchies count="9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IF].[departamento_jerarquia1].&amp;[28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4">
    <rowHierarchyUsage hierarchyUsage="29"/>
    <rowHierarchyUsage hierarchyUsage="30"/>
    <rowHierarchyUsage hierarchyUsage="28"/>
    <rowHierarchyUsage hierarchyUsage="34"/>
  </rowHierarchiesUsage>
  <colHierarchiesUsage count="1">
    <colHierarchyUsage hierarchyUsage="2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F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274CA4-1B68-4313-89D7-CDF94B1F4CAB}" name="TablaDinámica1" cacheId="3" applyNumberFormats="0" applyBorderFormats="0" applyFontFormats="0" applyPatternFormats="0" applyAlignmentFormats="0" applyWidthHeightFormats="1" dataCaption="Valores" tag="571d7b2f-29b7-42a0-b2b9-c90e14964243" updatedVersion="7" minRefreshableVersion="3" useAutoFormatting="1" subtotalHiddenItems="1" rowGrandTotals="0" colGrandTotals="0" itemPrintTitles="1" createdVersion="5" indent="0" compact="0" compactData="0" multipleFieldFilters="0">
  <location ref="A3:H499" firstHeaderRow="1" firstDataRow="2" firstDataCol="4" rowPageCount="1" colPageCount="1"/>
  <pivotFields count="7"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Row" compact="0" allDrilled="1" outline="0" subtotalTop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Col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dataField="1" compact="0" outline="0" subtotalTop="0" showAll="0" defaultSubtotal="0"/>
  </pivotFields>
  <rowFields count="4">
    <field x="1"/>
    <field x="2"/>
    <field x="3"/>
    <field x="5"/>
  </rowFields>
  <rowItems count="495">
    <i>
      <x/>
      <x/>
      <x/>
      <x/>
    </i>
    <i r="1">
      <x v="1"/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/>
    </i>
    <i r="3">
      <x v="1"/>
    </i>
    <i r="1">
      <x v="2"/>
      <x/>
      <x/>
    </i>
    <i r="1">
      <x v="3"/>
      <x/>
      <x/>
    </i>
    <i r="1">
      <x v="4"/>
      <x v="1"/>
      <x v="1"/>
    </i>
    <i r="2">
      <x v="2"/>
      <x v="1"/>
    </i>
    <i r="2">
      <x v="3"/>
      <x v="1"/>
    </i>
    <i r="2">
      <x v="4"/>
      <x v="1"/>
    </i>
    <i r="2">
      <x v="5"/>
      <x v="1"/>
    </i>
    <i r="2">
      <x v="6"/>
      <x v="1"/>
    </i>
    <i r="2">
      <x/>
      <x/>
    </i>
    <i r="3">
      <x v="1"/>
    </i>
    <i r="1">
      <x v="5"/>
      <x/>
      <x/>
    </i>
    <i r="1">
      <x v="6"/>
      <x v="1"/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/>
    </i>
    <i r="3">
      <x v="1"/>
    </i>
    <i r="1">
      <x v="7"/>
      <x/>
      <x/>
    </i>
    <i r="1">
      <x v="8"/>
      <x/>
      <x/>
    </i>
    <i>
      <x v="1"/>
      <x v="1"/>
      <x/>
      <x/>
    </i>
    <i r="1">
      <x v="3"/>
      <x/>
      <x/>
    </i>
    <i r="1">
      <x v="4"/>
      <x v="1"/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/>
    </i>
    <i r="3">
      <x v="1"/>
    </i>
    <i r="1">
      <x v="9"/>
      <x/>
      <x/>
    </i>
    <i r="1">
      <x v="5"/>
      <x/>
      <x/>
    </i>
    <i r="1">
      <x v="6"/>
      <x/>
      <x/>
    </i>
    <i r="1">
      <x v="7"/>
      <x/>
      <x/>
    </i>
    <i r="1">
      <x v="10"/>
      <x/>
      <x/>
    </i>
    <i r="1">
      <x v="11"/>
      <x/>
      <x/>
    </i>
    <i>
      <x v="2"/>
      <x v="12"/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/>
    </i>
    <i r="3">
      <x v="1"/>
    </i>
    <i r="1">
      <x v="1"/>
      <x v="1"/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/>
    </i>
    <i r="3">
      <x v="1"/>
    </i>
    <i r="1">
      <x v="2"/>
      <x v="1"/>
      <x v="1"/>
    </i>
    <i r="2">
      <x v="2"/>
      <x v="1"/>
    </i>
    <i r="2">
      <x v="3"/>
      <x v="1"/>
    </i>
    <i r="2">
      <x v="4"/>
      <x v="1"/>
    </i>
    <i r="2">
      <x v="5"/>
      <x v="1"/>
    </i>
    <i r="2">
      <x v="6"/>
      <x v="1"/>
    </i>
    <i r="2">
      <x/>
      <x/>
    </i>
    <i r="3">
      <x v="1"/>
    </i>
    <i r="1">
      <x v="13"/>
      <x v="1"/>
      <x/>
    </i>
    <i r="2">
      <x v="2"/>
      <x/>
    </i>
    <i r="2">
      <x v="3"/>
      <x/>
    </i>
    <i r="2">
      <x v="4"/>
      <x/>
    </i>
    <i r="2">
      <x v="5"/>
      <x/>
    </i>
    <i r="2">
      <x/>
      <x/>
    </i>
    <i r="1">
      <x v="3"/>
      <x v="1"/>
      <x v="1"/>
    </i>
    <i r="2">
      <x v="2"/>
      <x v="1"/>
    </i>
    <i r="2">
      <x v="3"/>
      <x v="1"/>
    </i>
    <i r="2">
      <x v="4"/>
      <x v="1"/>
    </i>
    <i r="2">
      <x v="5"/>
      <x v="1"/>
    </i>
    <i r="2">
      <x v="6"/>
      <x v="1"/>
    </i>
    <i r="2">
      <x/>
      <x/>
    </i>
    <i r="3">
      <x v="1"/>
    </i>
    <i r="1">
      <x v="4"/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/>
    </i>
    <i r="3">
      <x v="1"/>
    </i>
    <i r="1">
      <x v="9"/>
      <x v="1"/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/>
    </i>
    <i r="3">
      <x v="1"/>
    </i>
    <i r="1">
      <x v="5"/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/>
    </i>
    <i r="3">
      <x v="1"/>
    </i>
    <i r="1">
      <x v="14"/>
      <x v="1"/>
      <x/>
    </i>
    <i r="2">
      <x v="2"/>
      <x/>
    </i>
    <i r="2">
      <x v="3"/>
      <x/>
    </i>
    <i r="2">
      <x v="4"/>
      <x/>
    </i>
    <i r="2">
      <x v="5"/>
      <x/>
    </i>
    <i r="2">
      <x/>
      <x/>
    </i>
    <i r="1">
      <x v="6"/>
      <x v="4"/>
      <x/>
    </i>
    <i r="2">
      <x v="5"/>
      <x/>
    </i>
    <i r="2">
      <x/>
      <x/>
    </i>
    <i r="1">
      <x v="7"/>
      <x/>
      <x/>
    </i>
    <i r="1">
      <x v="15"/>
      <x/>
      <x/>
    </i>
    <i r="1">
      <x v="10"/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/>
    </i>
    <i r="3">
      <x v="1"/>
    </i>
    <i r="1">
      <x v="16"/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/>
    </i>
    <i r="3">
      <x v="1"/>
    </i>
    <i r="1">
      <x v="11"/>
      <x v="1"/>
      <x v="1"/>
    </i>
    <i r="2">
      <x v="2"/>
      <x v="1"/>
    </i>
    <i r="2">
      <x v="3"/>
      <x v="1"/>
    </i>
    <i r="2">
      <x v="4"/>
      <x v="1"/>
    </i>
    <i r="2">
      <x v="5"/>
      <x v="1"/>
    </i>
    <i r="2">
      <x v="6"/>
      <x v="1"/>
    </i>
    <i r="2">
      <x/>
      <x/>
    </i>
    <i r="3">
      <x v="1"/>
    </i>
    <i r="1">
      <x v="8"/>
      <x/>
      <x/>
    </i>
    <i>
      <x v="3"/>
      <x v="12"/>
      <x v="1"/>
      <x/>
    </i>
    <i r="2">
      <x v="2"/>
      <x/>
    </i>
    <i r="2">
      <x v="3"/>
      <x/>
    </i>
    <i r="2">
      <x v="4"/>
      <x/>
    </i>
    <i r="2">
      <x v="5"/>
      <x/>
    </i>
    <i r="2">
      <x/>
      <x/>
    </i>
    <i r="1">
      <x v="17"/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/>
    </i>
    <i r="3">
      <x v="1"/>
    </i>
    <i r="1">
      <x v="18"/>
      <x v="1"/>
      <x/>
    </i>
    <i r="2">
      <x v="2"/>
      <x/>
    </i>
    <i r="2">
      <x v="3"/>
      <x/>
    </i>
    <i r="2">
      <x v="4"/>
      <x/>
    </i>
    <i r="2">
      <x v="5"/>
      <x/>
    </i>
    <i r="2">
      <x/>
      <x/>
    </i>
    <i r="1">
      <x v="19"/>
      <x/>
      <x/>
    </i>
    <i r="1">
      <x/>
      <x v="1"/>
      <x v="1"/>
    </i>
    <i r="2">
      <x v="2"/>
      <x v="1"/>
    </i>
    <i r="2">
      <x v="3"/>
      <x v="1"/>
    </i>
    <i r="2">
      <x v="4"/>
      <x v="1"/>
    </i>
    <i r="2">
      <x v="5"/>
      <x v="1"/>
    </i>
    <i r="2">
      <x v="6"/>
      <x v="1"/>
    </i>
    <i r="2">
      <x/>
      <x/>
    </i>
    <i r="3">
      <x v="1"/>
    </i>
    <i r="1">
      <x v="1"/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/>
    </i>
    <i r="3">
      <x v="1"/>
    </i>
    <i r="1">
      <x v="2"/>
      <x/>
      <x/>
    </i>
    <i r="1">
      <x v="13"/>
      <x v="5"/>
      <x/>
    </i>
    <i r="2">
      <x/>
      <x/>
    </i>
    <i r="1">
      <x v="3"/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/>
    </i>
    <i r="3">
      <x v="1"/>
    </i>
    <i r="1">
      <x v="4"/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/>
    </i>
    <i r="3">
      <x v="1"/>
    </i>
    <i r="1">
      <x v="20"/>
      <x/>
      <x/>
    </i>
    <i r="1">
      <x v="9"/>
      <x v="2"/>
      <x/>
    </i>
    <i r="2">
      <x v="3"/>
      <x/>
    </i>
    <i r="2">
      <x v="4"/>
      <x/>
    </i>
    <i r="2">
      <x v="5"/>
      <x/>
    </i>
    <i r="2">
      <x/>
      <x/>
    </i>
    <i r="1">
      <x v="5"/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/>
    </i>
    <i r="3">
      <x v="1"/>
    </i>
    <i r="1">
      <x v="14"/>
      <x/>
      <x/>
    </i>
    <i r="1">
      <x v="6"/>
      <x/>
      <x/>
    </i>
    <i r="1">
      <x v="7"/>
      <x/>
      <x/>
    </i>
    <i r="1">
      <x v="15"/>
      <x/>
      <x/>
    </i>
    <i r="1">
      <x v="10"/>
      <x/>
      <x/>
    </i>
    <i r="1">
      <x v="11"/>
      <x/>
      <x/>
    </i>
    <i>
      <x v="4"/>
      <x/>
      <x/>
      <x/>
    </i>
    <i r="1">
      <x v="1"/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/>
    </i>
    <i r="3">
      <x v="1"/>
    </i>
    <i r="1">
      <x v="2"/>
      <x v="1"/>
      <x v="1"/>
    </i>
    <i r="2">
      <x v="2"/>
      <x v="1"/>
    </i>
    <i r="2">
      <x v="3"/>
      <x v="1"/>
    </i>
    <i r="2">
      <x v="4"/>
      <x v="1"/>
    </i>
    <i r="2">
      <x v="5"/>
      <x v="1"/>
    </i>
    <i r="2">
      <x v="6"/>
      <x v="1"/>
    </i>
    <i r="2">
      <x/>
      <x/>
    </i>
    <i r="3">
      <x v="1"/>
    </i>
    <i r="1">
      <x v="13"/>
      <x v="4"/>
      <x/>
    </i>
    <i r="2">
      <x v="5"/>
      <x/>
    </i>
    <i r="2">
      <x/>
      <x/>
    </i>
    <i r="1">
      <x v="3"/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/>
    </i>
    <i r="3">
      <x v="1"/>
    </i>
    <i r="1">
      <x v="4"/>
      <x v="1"/>
      <x v="1"/>
    </i>
    <i r="2">
      <x v="2"/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/>
    </i>
    <i r="3">
      <x v="1"/>
    </i>
    <i r="1">
      <x v="9"/>
      <x v="1"/>
      <x v="1"/>
    </i>
    <i r="2">
      <x v="2"/>
      <x v="1"/>
    </i>
    <i r="2">
      <x v="3"/>
      <x v="1"/>
    </i>
    <i r="2">
      <x v="4"/>
      <x v="1"/>
    </i>
    <i r="2">
      <x v="5"/>
      <x v="1"/>
    </i>
    <i r="2">
      <x v="6"/>
      <x v="1"/>
    </i>
    <i r="2">
      <x/>
      <x/>
    </i>
    <i r="3">
      <x v="1"/>
    </i>
    <i r="1">
      <x v="5"/>
      <x v="2"/>
      <x/>
    </i>
    <i r="2">
      <x v="3"/>
      <x/>
    </i>
    <i r="2">
      <x v="4"/>
      <x/>
    </i>
    <i r="2">
      <x v="5"/>
      <x/>
    </i>
    <i r="2">
      <x/>
      <x/>
    </i>
    <i r="1">
      <x v="14"/>
      <x v="3"/>
      <x/>
    </i>
    <i r="2">
      <x v="4"/>
      <x/>
    </i>
    <i r="2">
      <x v="5"/>
      <x/>
    </i>
    <i r="2">
      <x/>
      <x/>
    </i>
    <i r="1">
      <x v="6"/>
      <x v="1"/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/>
    </i>
    <i r="3">
      <x v="1"/>
    </i>
    <i r="1">
      <x v="7"/>
      <x/>
      <x/>
    </i>
    <i r="1">
      <x v="15"/>
      <x/>
      <x/>
    </i>
    <i r="1">
      <x v="10"/>
      <x/>
      <x/>
    </i>
    <i r="1">
      <x v="11"/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/>
    </i>
    <i r="3">
      <x v="1"/>
    </i>
    <i r="1">
      <x v="8"/>
      <x v="3"/>
      <x/>
    </i>
    <i r="2">
      <x v="4"/>
      <x/>
    </i>
    <i r="2">
      <x v="5"/>
      <x/>
    </i>
    <i r="2">
      <x/>
      <x/>
    </i>
    <i>
      <x v="5"/>
      <x v="12"/>
      <x/>
      <x/>
    </i>
    <i r="1">
      <x/>
      <x v="1"/>
      <x v="1"/>
    </i>
    <i r="2">
      <x v="2"/>
      <x v="1"/>
    </i>
    <i r="2">
      <x v="3"/>
      <x v="1"/>
    </i>
    <i r="2">
      <x v="4"/>
      <x v="1"/>
    </i>
    <i r="2">
      <x v="5"/>
      <x v="1"/>
    </i>
    <i r="2">
      <x v="6"/>
      <x v="1"/>
    </i>
    <i r="2">
      <x/>
      <x v="1"/>
    </i>
    <i r="1">
      <x v="1"/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 v="1"/>
    </i>
    <i r="1">
      <x v="3"/>
      <x v="1"/>
      <x v="1"/>
    </i>
    <i r="2">
      <x v="2"/>
      <x v="1"/>
    </i>
    <i r="2">
      <x v="3"/>
      <x v="1"/>
    </i>
    <i r="2">
      <x v="4"/>
      <x v="1"/>
    </i>
    <i r="2">
      <x v="5"/>
      <x v="1"/>
    </i>
    <i r="2">
      <x v="6"/>
      <x v="1"/>
    </i>
    <i r="2">
      <x/>
      <x/>
    </i>
    <i r="3">
      <x v="1"/>
    </i>
    <i r="1">
      <x v="4"/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/>
    </i>
    <i r="3">
      <x v="1"/>
    </i>
    <i r="1">
      <x v="9"/>
      <x v="1"/>
      <x v="1"/>
    </i>
    <i r="2">
      <x v="2"/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 v="1"/>
    </i>
    <i r="1">
      <x v="5"/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/>
    </i>
    <i r="3">
      <x v="1"/>
    </i>
    <i r="1">
      <x v="6"/>
      <x v="1"/>
      <x v="1"/>
    </i>
    <i r="2">
      <x v="2"/>
      <x v="1"/>
    </i>
    <i r="2">
      <x v="3"/>
      <x v="1"/>
    </i>
    <i r="2">
      <x v="4"/>
      <x v="1"/>
    </i>
    <i r="2">
      <x v="5"/>
      <x v="1"/>
    </i>
    <i r="2">
      <x v="6"/>
      <x v="1"/>
    </i>
    <i r="2">
      <x/>
      <x v="1"/>
    </i>
    <i r="1">
      <x v="7"/>
      <x/>
      <x/>
    </i>
    <i r="1">
      <x v="10"/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 v="1"/>
    </i>
    <i r="1">
      <x v="21"/>
      <x v="1"/>
      <x v="1"/>
    </i>
    <i r="2">
      <x v="2"/>
      <x v="1"/>
    </i>
    <i r="2">
      <x v="3"/>
      <x v="1"/>
    </i>
    <i r="2">
      <x v="4"/>
      <x v="1"/>
    </i>
    <i r="2">
      <x v="5"/>
      <x/>
    </i>
    <i r="3">
      <x v="1"/>
    </i>
    <i r="2">
      <x v="6"/>
      <x v="1"/>
    </i>
    <i r="2">
      <x/>
      <x v="1"/>
    </i>
    <i r="1">
      <x v="11"/>
      <x v="1"/>
      <x v="1"/>
    </i>
    <i r="2">
      <x v="2"/>
      <x v="1"/>
    </i>
    <i r="2">
      <x v="3"/>
      <x v="1"/>
    </i>
    <i r="2">
      <x v="4"/>
      <x v="1"/>
    </i>
    <i r="2">
      <x v="5"/>
      <x v="1"/>
    </i>
    <i r="2">
      <x v="6"/>
      <x v="1"/>
    </i>
    <i r="2">
      <x/>
      <x v="1"/>
    </i>
    <i r="1">
      <x v="8"/>
      <x v="1"/>
      <x v="1"/>
    </i>
    <i r="2">
      <x v="2"/>
      <x v="1"/>
    </i>
    <i r="2">
      <x v="3"/>
      <x v="1"/>
    </i>
    <i r="2">
      <x v="4"/>
      <x v="1"/>
    </i>
    <i r="2">
      <x v="5"/>
      <x v="1"/>
    </i>
    <i r="2">
      <x v="6"/>
      <x v="1"/>
    </i>
    <i r="2">
      <x/>
      <x v="1"/>
    </i>
  </rowItems>
  <colFields count="1">
    <field x="4"/>
  </colFields>
  <colItems count="4">
    <i>
      <x/>
    </i>
    <i>
      <x v="1"/>
    </i>
    <i>
      <x v="2"/>
    </i>
    <i>
      <x v="3"/>
    </i>
  </colItems>
  <pageFields count="1">
    <pageField fld="0" hier="37" name="[IF].[departamento_jerarquia1].&amp;[281]" cap="281"/>
  </pageFields>
  <dataFields count="1">
    <dataField name="Suma de valor" fld="6" baseField="5" baseItem="0" numFmtId="38"/>
  </dataFields>
  <pivotHierarchies count="9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IF].[departamento_jerarquia1].&amp;[28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4">
    <rowHierarchyUsage hierarchyUsage="38"/>
    <rowHierarchyUsage hierarchyUsage="32"/>
    <rowHierarchyUsage hierarchyUsage="28"/>
    <rowHierarchyUsage hierarchyUsage="34"/>
  </rowHierarchiesUsage>
  <colHierarchiesUsage count="1">
    <colHierarchyUsage hierarchyUsage="2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F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699790-50A7-46F9-9A4E-16A9EBC15992}" name="TablaDinámica7" cacheId="8" applyNumberFormats="0" applyBorderFormats="0" applyFontFormats="0" applyPatternFormats="0" applyAlignmentFormats="0" applyWidthHeightFormats="1" dataCaption="Valores" tag="67c63fa1-0897-454e-9fb0-e14fb4a90416" updatedVersion="7" minRefreshableVersion="3" useAutoFormatting="1" subtotalHiddenItems="1" rowGrandTotals="0" colGrandTotals="0" itemPrintTitles="1" createdVersion="5" indent="0" compact="0" compactData="0" multipleFieldFilters="0">
  <location ref="BF5:BI6" firstHeaderRow="1" firstDataRow="2" firstDataCol="3" rowPageCount="3" colPageCount="1"/>
  <pivotFields count="9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Col" compact="0" allDrilled="1" outline="0" subtotalTop="0" showAll="0" dataSourceSort="1" defaultSubtotal="0" defaultAttributeDrillState="1">
      <items count="2">
        <item x="0"/>
        <item x="1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dataField="1" compact="0" outline="0" subtotalTop="0" showAll="0" defaultSubtotal="0"/>
    <pivotField compact="0" allDrilled="1" outline="0" subtotalTop="0" showAll="0" dataSourceSort="1" defaultSubtotal="0" defaultAttributeDrillState="1">
      <items count="3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3">
    <field x="8"/>
    <field x="2"/>
    <field x="4"/>
  </rowFields>
  <colFields count="1">
    <field x="3"/>
  </colFields>
  <pageFields count="3">
    <pageField fld="0" hier="37" name="[IF].[departamento_jerarquia1].&amp;[281]" cap="281"/>
    <pageField fld="1" hier="38" name="[IF].[departamento_jerarquia2].[All]" cap="All"/>
    <pageField fld="7" hier="42" name="[IF].[proyecto].&amp;[GL0000000000963]" cap="GL0000000000963"/>
  </pageFields>
  <dataFields count="1">
    <dataField name="Suma de valor" fld="5" baseField="4" baseItem="0" numFmtId="38"/>
  </dataFields>
  <pivotHierarchies count="9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IF].[departamento_jerarquia1].&amp;[28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32"/>
    <rowHierarchyUsage hierarchyUsage="28"/>
    <rowHierarchyUsage hierarchyUsage="34"/>
  </rowHierarchiesUsage>
  <colHierarchiesUsage count="1">
    <colHierarchyUsage hierarchyUsage="2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F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4B9364-B522-4304-9265-C83E03D338CA}" name="TablaDinámica10" cacheId="1" applyNumberFormats="0" applyBorderFormats="0" applyFontFormats="0" applyPatternFormats="0" applyAlignmentFormats="0" applyWidthHeightFormats="1" dataCaption="Valores" tag="1ec94846-f607-4899-9bfe-aefdeeb50ed3" updatedVersion="7" minRefreshableVersion="3" subtotalHiddenItems="1" colGrandTotals="0" itemPrintTitles="1" createdVersion="5" indent="0" outline="1" outlineData="1" multipleFieldFilters="0" rowHeaderCaption="PROGRAMAS">
  <location ref="U8:AC14" firstHeaderRow="1" firstDataRow="3" firstDataCol="1"/>
  <pivotFields count="6"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Col" allDrilled="1" subtotalTop="0" showAll="0" dataSourceSort="1" defaultSubtotal="0" defaultAttributeDrillState="1">
      <items count="4">
        <item x="0"/>
        <item x="1"/>
        <item x="2"/>
        <item x="3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4">
    <i>
      <x/>
    </i>
    <i>
      <x v="1"/>
    </i>
    <i>
      <x v="2"/>
    </i>
    <i t="grand">
      <x/>
    </i>
  </rowItems>
  <colFields count="2">
    <field x="1"/>
    <field x="2"/>
  </colFields>
  <colItems count="8">
    <i>
      <x/>
      <x/>
    </i>
    <i r="1">
      <x v="1"/>
    </i>
    <i>
      <x v="1"/>
      <x/>
    </i>
    <i r="1">
      <x v="1"/>
    </i>
    <i>
      <x v="2"/>
      <x/>
    </i>
    <i r="1">
      <x v="1"/>
    </i>
    <i>
      <x v="3"/>
      <x/>
    </i>
    <i r="1">
      <x v="1"/>
    </i>
  </colItems>
  <dataFields count="1">
    <dataField name="Suma de real_antiguos" fld="4" baseField="0" baseItem="0"/>
  </dataFields>
  <formats count="19">
    <format dxfId="79">
      <pivotArea outline="0" collapsedLevelsAreSubtotals="1" fieldPosition="0"/>
    </format>
    <format dxfId="78">
      <pivotArea dataOnly="0" labelOnly="1" fieldPosition="0">
        <references count="1">
          <reference field="1" count="0"/>
        </references>
      </pivotArea>
    </format>
    <format dxfId="77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76">
      <pivotArea dataOnly="0" labelOnly="1" fieldPosition="0">
        <references count="2">
          <reference field="1" count="1" selected="0">
            <x v="1"/>
          </reference>
          <reference field="2" count="0"/>
        </references>
      </pivotArea>
    </format>
    <format dxfId="75">
      <pivotArea dataOnly="0" labelOnly="1" fieldPosition="0">
        <references count="2">
          <reference field="1" count="1" selected="0">
            <x v="2"/>
          </reference>
          <reference field="2" count="0"/>
        </references>
      </pivotArea>
    </format>
    <format dxfId="74">
      <pivotArea dataOnly="0" labelOnly="1" fieldPosition="0">
        <references count="1">
          <reference field="1" count="0"/>
        </references>
      </pivotArea>
    </format>
    <format dxfId="73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72">
      <pivotArea dataOnly="0" labelOnly="1" fieldPosition="0">
        <references count="2">
          <reference field="1" count="1" selected="0">
            <x v="1"/>
          </reference>
          <reference field="2" count="0"/>
        </references>
      </pivotArea>
    </format>
    <format dxfId="71">
      <pivotArea dataOnly="0" labelOnly="1" fieldPosition="0">
        <references count="2">
          <reference field="1" count="1" selected="0">
            <x v="2"/>
          </reference>
          <reference field="2" count="0"/>
        </references>
      </pivotArea>
    </format>
    <format dxfId="70">
      <pivotArea outline="0" collapsedLevelsAreSubtotals="1" fieldPosition="0"/>
    </format>
    <format dxfId="69">
      <pivotArea field="0" type="button" dataOnly="0" labelOnly="1" outline="0" axis="axisRow" fieldPosition="0"/>
    </format>
    <format dxfId="68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67">
      <pivotArea dataOnly="0" labelOnly="1" fieldPosition="0">
        <references count="2">
          <reference field="1" count="1" selected="0">
            <x v="1"/>
          </reference>
          <reference field="2" count="0"/>
        </references>
      </pivotArea>
    </format>
    <format dxfId="66">
      <pivotArea dataOnly="0" labelOnly="1" fieldPosition="0">
        <references count="2">
          <reference field="1" count="1" selected="0">
            <x v="2"/>
          </reference>
          <reference field="2" count="0"/>
        </references>
      </pivotArea>
    </format>
    <format dxfId="65">
      <pivotArea dataOnly="0" labelOnly="1" fieldPosition="0">
        <references count="2">
          <reference field="1" count="1" selected="0">
            <x v="3"/>
          </reference>
          <reference field="2" count="0"/>
        </references>
      </pivotArea>
    </format>
    <format dxfId="64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63">
      <pivotArea dataOnly="0" labelOnly="1" fieldPosition="0">
        <references count="2">
          <reference field="1" count="1" selected="0">
            <x v="1"/>
          </reference>
          <reference field="2" count="0"/>
        </references>
      </pivotArea>
    </format>
    <format dxfId="62">
      <pivotArea dataOnly="0" labelOnly="1" fieldPosition="0">
        <references count="2">
          <reference field="1" count="1" selected="0">
            <x v="2"/>
          </reference>
          <reference field="2" count="0"/>
        </references>
      </pivotArea>
    </format>
    <format dxfId="61">
      <pivotArea dataOnly="0" labelOnly="1" fieldPosition="0">
        <references count="2">
          <reference field="1" count="1" selected="0">
            <x v="3"/>
          </reference>
          <reference field="2" count="0"/>
        </references>
      </pivotArea>
    </format>
  </formats>
  <pivotHierarchies count="9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IF].[departamento_jerarquia1].&amp;[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oblacion_pregrado].[nombre_departamento_padre].&amp;[FACULTAD DE COMUNICACION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6" showRowHeaders="1" showColHeaders="1" showRowStripes="0" showColStripes="0" showLastColumn="1"/>
  <rowHierarchiesUsage count="1">
    <rowHierarchyUsage hierarchyUsage="78"/>
  </rowHierarchiesUsage>
  <colHierarchiesUsage count="2">
    <colHierarchyUsage hierarchyUsage="72"/>
    <colHierarchyUsage hierarchyUsage="7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oblacion_pregrad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C2F86E-7ED3-4656-8334-A85CCBB05D6C}" name="TablaDinámica9" cacheId="2" applyNumberFormats="0" applyBorderFormats="0" applyFontFormats="0" applyPatternFormats="0" applyAlignmentFormats="0" applyWidthHeightFormats="1" dataCaption="Valores" tag="cb5160c1-9c4b-4347-8992-106f55b5a7eb" updatedVersion="7" minRefreshableVersion="3" subtotalHiddenItems="1" colGrandTotals="0" itemPrintTitles="1" createdVersion="5" indent="0" outline="1" outlineData="1" multipleFieldFilters="0" rowHeaderCaption="PROGRAMAS">
  <location ref="K8:S14" firstHeaderRow="1" firstDataRow="3" firstDataCol="1"/>
  <pivotFields count="6"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Col" allDrilled="1" subtotalTop="0" showAll="0" dataSourceSort="1" defaultSubtotal="0" defaultAttributeDrillState="1">
      <items count="4">
        <item x="0"/>
        <item x="1"/>
        <item x="2"/>
        <item x="3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4">
    <i>
      <x/>
    </i>
    <i>
      <x v="1"/>
    </i>
    <i>
      <x v="2"/>
    </i>
    <i t="grand">
      <x/>
    </i>
  </rowItems>
  <colFields count="2">
    <field x="1"/>
    <field x="2"/>
  </colFields>
  <colItems count="8">
    <i>
      <x/>
      <x/>
    </i>
    <i r="1">
      <x v="1"/>
    </i>
    <i>
      <x v="1"/>
      <x/>
    </i>
    <i r="1">
      <x v="1"/>
    </i>
    <i>
      <x v="2"/>
      <x/>
    </i>
    <i r="1">
      <x v="1"/>
    </i>
    <i>
      <x v="3"/>
      <x/>
    </i>
    <i r="1">
      <x v="1"/>
    </i>
  </colItems>
  <dataFields count="1">
    <dataField name="Suma de real_nuevos" fld="4" baseField="0" baseItem="0"/>
  </dataFields>
  <formats count="19">
    <format dxfId="98">
      <pivotArea outline="0" collapsedLevelsAreSubtotals="1" fieldPosition="0"/>
    </format>
    <format dxfId="97">
      <pivotArea dataOnly="0" labelOnly="1" fieldPosition="0">
        <references count="1">
          <reference field="1" count="0"/>
        </references>
      </pivotArea>
    </format>
    <format dxfId="96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95">
      <pivotArea dataOnly="0" labelOnly="1" fieldPosition="0">
        <references count="2">
          <reference field="1" count="1" selected="0">
            <x v="1"/>
          </reference>
          <reference field="2" count="0"/>
        </references>
      </pivotArea>
    </format>
    <format dxfId="94">
      <pivotArea dataOnly="0" labelOnly="1" fieldPosition="0">
        <references count="2">
          <reference field="1" count="1" selected="0">
            <x v="2"/>
          </reference>
          <reference field="2" count="0"/>
        </references>
      </pivotArea>
    </format>
    <format dxfId="93">
      <pivotArea dataOnly="0" labelOnly="1" fieldPosition="0">
        <references count="1">
          <reference field="1" count="0"/>
        </references>
      </pivotArea>
    </format>
    <format dxfId="92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91">
      <pivotArea dataOnly="0" labelOnly="1" fieldPosition="0">
        <references count="2">
          <reference field="1" count="1" selected="0">
            <x v="1"/>
          </reference>
          <reference field="2" count="0"/>
        </references>
      </pivotArea>
    </format>
    <format dxfId="90">
      <pivotArea dataOnly="0" labelOnly="1" fieldPosition="0">
        <references count="2">
          <reference field="1" count="1" selected="0">
            <x v="2"/>
          </reference>
          <reference field="2" count="0"/>
        </references>
      </pivotArea>
    </format>
    <format dxfId="89">
      <pivotArea outline="0" collapsedLevelsAreSubtotals="1" fieldPosition="0"/>
    </format>
    <format dxfId="88">
      <pivotArea field="0" type="button" dataOnly="0" labelOnly="1" outline="0" axis="axisRow" fieldPosition="0"/>
    </format>
    <format dxfId="87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86">
      <pivotArea dataOnly="0" labelOnly="1" fieldPosition="0">
        <references count="2">
          <reference field="1" count="1" selected="0">
            <x v="1"/>
          </reference>
          <reference field="2" count="0"/>
        </references>
      </pivotArea>
    </format>
    <format dxfId="85">
      <pivotArea dataOnly="0" labelOnly="1" fieldPosition="0">
        <references count="2">
          <reference field="1" count="1" selected="0">
            <x v="2"/>
          </reference>
          <reference field="2" count="0"/>
        </references>
      </pivotArea>
    </format>
    <format dxfId="84">
      <pivotArea dataOnly="0" labelOnly="1" fieldPosition="0">
        <references count="2">
          <reference field="1" count="1" selected="0">
            <x v="3"/>
          </reference>
          <reference field="2" count="0"/>
        </references>
      </pivotArea>
    </format>
    <format dxfId="83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82">
      <pivotArea dataOnly="0" labelOnly="1" fieldPosition="0">
        <references count="2">
          <reference field="1" count="1" selected="0">
            <x v="1"/>
          </reference>
          <reference field="2" count="0"/>
        </references>
      </pivotArea>
    </format>
    <format dxfId="81">
      <pivotArea dataOnly="0" labelOnly="1" fieldPosition="0">
        <references count="2">
          <reference field="1" count="1" selected="0">
            <x v="2"/>
          </reference>
          <reference field="2" count="0"/>
        </references>
      </pivotArea>
    </format>
    <format dxfId="80">
      <pivotArea dataOnly="0" labelOnly="1" fieldPosition="0">
        <references count="2">
          <reference field="1" count="1" selected="0">
            <x v="3"/>
          </reference>
          <reference field="2" count="0"/>
        </references>
      </pivotArea>
    </format>
  </formats>
  <pivotHierarchies count="9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IF].[departamento_jerarquia1].&amp;[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oblacion_pregrado].[nombre_departamento_padre].&amp;[FACULTAD DE COMUNICACION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6" showRowHeaders="1" showColHeaders="1" showRowStripes="0" showColStripes="0" showLastColumn="1"/>
  <rowHierarchiesUsage count="1">
    <rowHierarchyUsage hierarchyUsage="78"/>
  </rowHierarchiesUsage>
  <colHierarchiesUsage count="2">
    <colHierarchyUsage hierarchyUsage="72"/>
    <colHierarchyUsage hierarchyUsage="7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oblacion_pregrad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025CF0-08CD-47C4-AF95-AE20CD21E561}" name="TablaDinámica6" cacheId="10" applyNumberFormats="0" applyBorderFormats="0" applyFontFormats="0" applyPatternFormats="0" applyAlignmentFormats="0" applyWidthHeightFormats="1" dataCaption="Valores" tag="5703b20f-7850-4084-aaeb-c291be016f87" updatedVersion="7" minRefreshableVersion="3" subtotalHiddenItems="1" colGrandTotals="0" itemPrintTitles="1" createdVersion="5" indent="0" outline="1" outlineData="1" multipleFieldFilters="0" rowHeaderCaption="PROGRAMAS">
  <location ref="A8:I13" firstHeaderRow="1" firstDataRow="3" firstDataCol="1"/>
  <pivotFields count="5">
    <pivotField axis="axisCol" allDrilled="1" subtotalTop="0" showAll="0" dataSourceSort="1" defaultSubtotal="0" defaultAttributeDrillState="1">
      <items count="4">
        <item x="0"/>
        <item x="1"/>
        <item x="2"/>
        <item x="3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2"/>
  </rowFields>
  <rowItems count="3">
    <i>
      <x/>
    </i>
    <i>
      <x v="1"/>
    </i>
    <i t="grand">
      <x/>
    </i>
  </rowItems>
  <colFields count="2">
    <field x="0"/>
    <field x="1"/>
  </colFields>
  <colItems count="8">
    <i>
      <x/>
      <x/>
    </i>
    <i r="1">
      <x v="1"/>
    </i>
    <i>
      <x v="1"/>
      <x/>
    </i>
    <i r="1">
      <x v="1"/>
    </i>
    <i>
      <x v="2"/>
      <x/>
    </i>
    <i r="1">
      <x v="1"/>
    </i>
    <i>
      <x v="3"/>
      <x/>
    </i>
    <i r="1">
      <x v="1"/>
    </i>
  </colItems>
  <dataFields count="1">
    <dataField name="Suma de real" fld="3" baseField="0" baseItem="0" numFmtId="3"/>
  </dataFields>
  <formats count="13">
    <format dxfId="15">
      <pivotArea dataOnly="0" labelOnly="1" fieldPosition="0">
        <references count="1">
          <reference field="0" count="0"/>
        </references>
      </pivotArea>
    </format>
    <format dxfId="14">
      <pivotArea dataOnly="0" labelOnly="1" fieldPosition="0">
        <references count="2">
          <reference field="0" count="1" selected="0">
            <x v="0"/>
          </reference>
          <reference field="1" count="0"/>
        </references>
      </pivotArea>
    </format>
    <format dxfId="13">
      <pivotArea dataOnly="0" labelOnly="1" fieldPosition="0">
        <references count="2">
          <reference field="0" count="1" selected="0">
            <x v="1"/>
          </reference>
          <reference field="1" count="0"/>
        </references>
      </pivotArea>
    </format>
    <format dxfId="12">
      <pivotArea dataOnly="0" labelOnly="1" fieldPosition="0">
        <references count="2">
          <reference field="0" count="1" selected="0">
            <x v="2"/>
          </reference>
          <reference field="1" count="0"/>
        </references>
      </pivotArea>
    </format>
    <format dxfId="11">
      <pivotArea dataOnly="0" labelOnly="1" fieldPosition="0">
        <references count="2">
          <reference field="0" count="1" selected="0">
            <x v="3"/>
          </reference>
          <reference field="1" count="0"/>
        </references>
      </pivotArea>
    </format>
    <format dxfId="10">
      <pivotArea dataOnly="0" labelOnly="1" fieldPosition="0">
        <references count="1">
          <reference field="0" count="0"/>
        </references>
      </pivotArea>
    </format>
    <format dxfId="9">
      <pivotArea dataOnly="0" labelOnly="1" fieldPosition="0">
        <references count="2">
          <reference field="0" count="1" selected="0">
            <x v="0"/>
          </reference>
          <reference field="1" count="0"/>
        </references>
      </pivotArea>
    </format>
    <format dxfId="8">
      <pivotArea dataOnly="0" labelOnly="1" fieldPosition="0">
        <references count="2">
          <reference field="0" count="1" selected="0">
            <x v="1"/>
          </reference>
          <reference field="1" count="0"/>
        </references>
      </pivotArea>
    </format>
    <format dxfId="7">
      <pivotArea dataOnly="0" labelOnly="1" fieldPosition="0">
        <references count="2">
          <reference field="0" count="1" selected="0">
            <x v="2"/>
          </reference>
          <reference field="1" count="0"/>
        </references>
      </pivotArea>
    </format>
    <format dxfId="6">
      <pivotArea dataOnly="0" labelOnly="1" fieldPosition="0">
        <references count="2">
          <reference field="0" count="1" selected="0">
            <x v="3"/>
          </reference>
          <reference field="1" count="0"/>
        </references>
      </pivotArea>
    </format>
    <format dxfId="5">
      <pivotArea outline="0" collapsedLevelsAreSubtotals="1" fieldPosition="0"/>
    </format>
    <format dxfId="4">
      <pivotArea outline="0" collapsedLevelsAreSubtotals="1" fieldPosition="0"/>
    </format>
    <format dxfId="3">
      <pivotArea field="2" type="button" dataOnly="0" labelOnly="1" outline="0" axis="axisRow" fieldPosition="0"/>
    </format>
  </formats>
  <pivotHierarchies count="9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oblacion_postgrado].[nombre_departamento_padre].&amp;[TOTAL INSTITUTO DE LA FAMILI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7" showRowHeaders="1" showColHeaders="1" showRowStripes="0" showColStripes="0" showLastColumn="1"/>
  <rowHierarchiesUsage count="1">
    <rowHierarchyUsage hierarchyUsage="61"/>
  </rowHierarchiesUsage>
  <colHierarchiesUsage count="2">
    <colHierarchyUsage hierarchyUsage="54"/>
    <colHierarchyUsage hierarchyUsage="5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oblacion_postgrad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4FF6C0-2F22-4E14-A2C6-63088383B67B}" name="TablaDinámica8" cacheId="12" applyNumberFormats="0" applyBorderFormats="0" applyFontFormats="0" applyPatternFormats="0" applyAlignmentFormats="0" applyWidthHeightFormats="1" dataCaption="Valores" tag="f262825a-dac5-4904-b74a-a8b7eb741d39" updatedVersion="7" minRefreshableVersion="3" subtotalHiddenItems="1" colGrandTotals="0" itemPrintTitles="1" createdVersion="5" indent="0" outline="1" outlineData="1" multipleFieldFilters="0" rowHeaderCaption="PROGRAMAS">
  <location ref="U8:AC13" firstHeaderRow="1" firstDataRow="3" firstDataCol="1"/>
  <pivotFields count="5">
    <pivotField axis="axisCol" allDrilled="1" subtotalTop="0" showAll="0" dataSourceSort="1" defaultSubtotal="0" defaultAttributeDrillState="1">
      <items count="4">
        <item x="0"/>
        <item x="1"/>
        <item x="2"/>
        <item x="3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2"/>
  </rowFields>
  <rowItems count="3">
    <i>
      <x/>
    </i>
    <i>
      <x v="1"/>
    </i>
    <i t="grand">
      <x/>
    </i>
  </rowItems>
  <colFields count="2">
    <field x="0"/>
    <field x="1"/>
  </colFields>
  <colItems count="8">
    <i>
      <x/>
      <x/>
    </i>
    <i r="1">
      <x v="1"/>
    </i>
    <i>
      <x v="1"/>
      <x/>
    </i>
    <i r="1">
      <x v="1"/>
    </i>
    <i>
      <x v="2"/>
      <x/>
    </i>
    <i r="1">
      <x v="1"/>
    </i>
    <i>
      <x v="3"/>
      <x/>
    </i>
    <i r="1">
      <x v="1"/>
    </i>
  </colItems>
  <dataFields count="1">
    <dataField name="Suma de real_antiguos" fld="3" baseField="0" baseItem="0"/>
  </dataFields>
  <formats count="13">
    <format dxfId="28">
      <pivotArea dataOnly="0" labelOnly="1" fieldPosition="0">
        <references count="1">
          <reference field="0" count="0"/>
        </references>
      </pivotArea>
    </format>
    <format dxfId="27">
      <pivotArea dataOnly="0" labelOnly="1" fieldPosition="0">
        <references count="2">
          <reference field="0" count="1" selected="0">
            <x v="0"/>
          </reference>
          <reference field="1" count="0"/>
        </references>
      </pivotArea>
    </format>
    <format dxfId="26">
      <pivotArea dataOnly="0" labelOnly="1" fieldPosition="0">
        <references count="2">
          <reference field="0" count="1" selected="0">
            <x v="1"/>
          </reference>
          <reference field="1" count="0"/>
        </references>
      </pivotArea>
    </format>
    <format dxfId="25">
      <pivotArea dataOnly="0" labelOnly="1" fieldPosition="0">
        <references count="2">
          <reference field="0" count="1" selected="0">
            <x v="2"/>
          </reference>
          <reference field="1" count="0"/>
        </references>
      </pivotArea>
    </format>
    <format dxfId="24">
      <pivotArea dataOnly="0" labelOnly="1" fieldPosition="0">
        <references count="2">
          <reference field="0" count="1" selected="0">
            <x v="3"/>
          </reference>
          <reference field="1" count="0"/>
        </references>
      </pivotArea>
    </format>
    <format dxfId="23">
      <pivotArea dataOnly="0" labelOnly="1" fieldPosition="0">
        <references count="1">
          <reference field="0" count="0"/>
        </references>
      </pivotArea>
    </format>
    <format dxfId="22">
      <pivotArea dataOnly="0" labelOnly="1" fieldPosition="0">
        <references count="2">
          <reference field="0" count="1" selected="0">
            <x v="0"/>
          </reference>
          <reference field="1" count="0"/>
        </references>
      </pivotArea>
    </format>
    <format dxfId="21">
      <pivotArea dataOnly="0" labelOnly="1" fieldPosition="0">
        <references count="2">
          <reference field="0" count="1" selected="0">
            <x v="1"/>
          </reference>
          <reference field="1" count="0"/>
        </references>
      </pivotArea>
    </format>
    <format dxfId="20">
      <pivotArea dataOnly="0" labelOnly="1" fieldPosition="0">
        <references count="2">
          <reference field="0" count="1" selected="0">
            <x v="2"/>
          </reference>
          <reference field="1" count="0"/>
        </references>
      </pivotArea>
    </format>
    <format dxfId="19">
      <pivotArea dataOnly="0" labelOnly="1" fieldPosition="0">
        <references count="2">
          <reference field="0" count="1" selected="0">
            <x v="3"/>
          </reference>
          <reference field="1" count="0"/>
        </references>
      </pivotArea>
    </format>
    <format dxfId="18">
      <pivotArea outline="0" collapsedLevelsAreSubtotals="1" fieldPosition="0"/>
    </format>
    <format dxfId="17">
      <pivotArea outline="0" collapsedLevelsAreSubtotals="1" fieldPosition="0"/>
    </format>
    <format dxfId="16">
      <pivotArea field="2" type="button" dataOnly="0" labelOnly="1" outline="0" axis="axisRow" fieldPosition="0"/>
    </format>
  </formats>
  <pivotHierarchies count="9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oblacion_postgrado].[nombre_departamento_padre].&amp;[TOTAL INSTITUTO DE LA FAMILI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7" showRowHeaders="1" showColHeaders="1" showRowStripes="0" showColStripes="0" showLastColumn="1"/>
  <rowHierarchiesUsage count="1">
    <rowHierarchyUsage hierarchyUsage="61"/>
  </rowHierarchiesUsage>
  <colHierarchiesUsage count="2">
    <colHierarchyUsage hierarchyUsage="54"/>
    <colHierarchyUsage hierarchyUsage="5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oblacion_postgrad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AAB412-64D9-462B-B409-7612DC964DC9}" name="TablaDinámica7" cacheId="11" applyNumberFormats="0" applyBorderFormats="0" applyFontFormats="0" applyPatternFormats="0" applyAlignmentFormats="0" applyWidthHeightFormats="1" dataCaption="Valores" tag="030f069f-536c-4bdc-969e-ea997fc82f99" updatedVersion="7" minRefreshableVersion="3" subtotalHiddenItems="1" colGrandTotals="0" itemPrintTitles="1" createdVersion="5" indent="0" outline="1" outlineData="1" multipleFieldFilters="0" rowHeaderCaption="PROGRAMAS">
  <location ref="K8:S13" firstHeaderRow="1" firstDataRow="3" firstDataCol="1"/>
  <pivotFields count="5">
    <pivotField axis="axisCol" allDrilled="1" subtotalTop="0" showAll="0" dataSourceSort="1" defaultSubtotal="0" defaultAttributeDrillState="1">
      <items count="4">
        <item x="0"/>
        <item x="1"/>
        <item x="2"/>
        <item x="3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2"/>
  </rowFields>
  <rowItems count="3">
    <i>
      <x/>
    </i>
    <i>
      <x v="1"/>
    </i>
    <i t="grand">
      <x/>
    </i>
  </rowItems>
  <colFields count="2">
    <field x="0"/>
    <field x="1"/>
  </colFields>
  <colItems count="8">
    <i>
      <x/>
      <x/>
    </i>
    <i r="1">
      <x v="1"/>
    </i>
    <i>
      <x v="1"/>
      <x/>
    </i>
    <i r="1">
      <x v="1"/>
    </i>
    <i>
      <x v="2"/>
      <x/>
    </i>
    <i r="1">
      <x v="1"/>
    </i>
    <i>
      <x v="3"/>
      <x/>
    </i>
    <i r="1">
      <x v="1"/>
    </i>
  </colItems>
  <dataFields count="1">
    <dataField name="Suma de real_nuevos" fld="3" baseField="0" baseItem="0"/>
  </dataFields>
  <formats count="13">
    <format dxfId="41">
      <pivotArea dataOnly="0" labelOnly="1" fieldPosition="0">
        <references count="1">
          <reference field="0" count="0"/>
        </references>
      </pivotArea>
    </format>
    <format dxfId="40">
      <pivotArea dataOnly="0" labelOnly="1" fieldPosition="0">
        <references count="2">
          <reference field="0" count="1" selected="0">
            <x v="0"/>
          </reference>
          <reference field="1" count="0"/>
        </references>
      </pivotArea>
    </format>
    <format dxfId="39">
      <pivotArea dataOnly="0" labelOnly="1" fieldPosition="0">
        <references count="2">
          <reference field="0" count="1" selected="0">
            <x v="1"/>
          </reference>
          <reference field="1" count="0"/>
        </references>
      </pivotArea>
    </format>
    <format dxfId="38">
      <pivotArea dataOnly="0" labelOnly="1" fieldPosition="0">
        <references count="2">
          <reference field="0" count="1" selected="0">
            <x v="2"/>
          </reference>
          <reference field="1" count="0"/>
        </references>
      </pivotArea>
    </format>
    <format dxfId="37">
      <pivotArea dataOnly="0" labelOnly="1" fieldPosition="0">
        <references count="2">
          <reference field="0" count="1" selected="0">
            <x v="3"/>
          </reference>
          <reference field="1" count="0"/>
        </references>
      </pivotArea>
    </format>
    <format dxfId="36">
      <pivotArea dataOnly="0" labelOnly="1" fieldPosition="0">
        <references count="1">
          <reference field="0" count="0"/>
        </references>
      </pivotArea>
    </format>
    <format dxfId="35">
      <pivotArea dataOnly="0" labelOnly="1" fieldPosition="0">
        <references count="2">
          <reference field="0" count="1" selected="0">
            <x v="0"/>
          </reference>
          <reference field="1" count="0"/>
        </references>
      </pivotArea>
    </format>
    <format dxfId="34">
      <pivotArea dataOnly="0" labelOnly="1" fieldPosition="0">
        <references count="2">
          <reference field="0" count="1" selected="0">
            <x v="1"/>
          </reference>
          <reference field="1" count="0"/>
        </references>
      </pivotArea>
    </format>
    <format dxfId="33">
      <pivotArea dataOnly="0" labelOnly="1" fieldPosition="0">
        <references count="2">
          <reference field="0" count="1" selected="0">
            <x v="2"/>
          </reference>
          <reference field="1" count="0"/>
        </references>
      </pivotArea>
    </format>
    <format dxfId="32">
      <pivotArea dataOnly="0" labelOnly="1" fieldPosition="0">
        <references count="2">
          <reference field="0" count="1" selected="0">
            <x v="3"/>
          </reference>
          <reference field="1" count="0"/>
        </references>
      </pivotArea>
    </format>
    <format dxfId="31">
      <pivotArea outline="0" collapsedLevelsAreSubtotals="1" fieldPosition="0"/>
    </format>
    <format dxfId="30">
      <pivotArea outline="0" collapsedLevelsAreSubtotals="1" fieldPosition="0"/>
    </format>
    <format dxfId="29">
      <pivotArea field="2" type="button" dataOnly="0" labelOnly="1" outline="0" axis="axisRow" fieldPosition="0"/>
    </format>
  </formats>
  <pivotHierarchies count="9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oblacion_postgrado].[nombre_departamento_padre].&amp;[TOTAL INSTITUTO DE LA FAMILI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7" showRowHeaders="1" showColHeaders="1" showRowStripes="0" showColStripes="0" showLastColumn="1"/>
  <rowHierarchiesUsage count="1">
    <rowHierarchyUsage hierarchyUsage="61"/>
  </rowHierarchiesUsage>
  <colHierarchiesUsage count="2">
    <colHierarchyUsage hierarchyUsage="54"/>
    <colHierarchyUsage hierarchyUsage="5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oblacion_postgrad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7A52C7-8525-4B67-9BD2-8791FC2ED1C2}" name="TablaDinámica5" cacheId="6" applyNumberFormats="0" applyBorderFormats="0" applyFontFormats="0" applyPatternFormats="0" applyAlignmentFormats="0" applyWidthHeightFormats="1" dataCaption="Valores" tag="e2fa3340-b645-4ce7-8194-af28c3c3c0ae" updatedVersion="7" minRefreshableVersion="3" useAutoFormatting="1" subtotalHiddenItems="1" rowGrandTotals="0" colGrandTotals="0" itemPrintTitles="1" createdVersion="5" indent="0" compact="0" compactData="0" multipleFieldFilters="0">
  <location ref="AN5:AT137" firstHeaderRow="1" firstDataRow="2" firstDataCol="3" rowPageCount="3" colPageCount="1"/>
  <pivotFields count="8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Col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3">
    <field x="2"/>
    <field x="3"/>
    <field x="5"/>
  </rowFields>
  <rowItems count="131">
    <i>
      <x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 v="1"/>
    </i>
    <i r="1">
      <x v="6"/>
      <x/>
    </i>
    <i r="2">
      <x v="1"/>
    </i>
    <i>
      <x v="1"/>
      <x/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 v="1"/>
    </i>
    <i r="1">
      <x v="6"/>
      <x/>
    </i>
    <i r="2">
      <x v="1"/>
    </i>
    <i>
      <x v="2"/>
      <x/>
      <x v="1"/>
    </i>
    <i r="1">
      <x v="1"/>
      <x v="1"/>
    </i>
    <i r="1">
      <x v="2"/>
      <x v="1"/>
    </i>
    <i r="1">
      <x v="3"/>
      <x v="1"/>
    </i>
    <i r="1">
      <x v="4"/>
      <x v="1"/>
    </i>
    <i r="1">
      <x v="5"/>
      <x v="1"/>
    </i>
    <i r="1">
      <x v="6"/>
      <x/>
    </i>
    <i r="2">
      <x v="1"/>
    </i>
    <i>
      <x v="3"/>
      <x/>
      <x/>
    </i>
    <i r="1">
      <x v="1"/>
      <x/>
    </i>
    <i r="1">
      <x v="2"/>
      <x/>
    </i>
    <i r="1">
      <x v="3"/>
      <x/>
    </i>
    <i r="1">
      <x v="4"/>
      <x/>
    </i>
    <i r="1">
      <x v="6"/>
      <x/>
    </i>
    <i>
      <x v="4"/>
      <x/>
      <x v="1"/>
    </i>
    <i r="1">
      <x v="1"/>
      <x v="1"/>
    </i>
    <i r="1">
      <x v="2"/>
      <x v="1"/>
    </i>
    <i r="1">
      <x v="3"/>
      <x v="1"/>
    </i>
    <i r="1">
      <x v="4"/>
      <x v="1"/>
    </i>
    <i r="1">
      <x v="5"/>
      <x v="1"/>
    </i>
    <i r="1">
      <x v="6"/>
      <x/>
    </i>
    <i r="2">
      <x v="1"/>
    </i>
    <i>
      <x v="5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 v="1"/>
    </i>
    <i r="1">
      <x v="6"/>
      <x/>
    </i>
    <i r="2">
      <x v="1"/>
    </i>
    <i>
      <x v="6"/>
      <x/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 v="1"/>
    </i>
    <i r="1">
      <x v="6"/>
      <x/>
    </i>
    <i r="2">
      <x v="1"/>
    </i>
    <i>
      <x v="7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 v="1"/>
    </i>
    <i r="1">
      <x v="6"/>
      <x/>
    </i>
    <i r="2">
      <x v="1"/>
    </i>
    <i>
      <x v="8"/>
      <x/>
      <x/>
    </i>
    <i r="1">
      <x v="1"/>
      <x/>
    </i>
    <i r="1">
      <x v="2"/>
      <x/>
    </i>
    <i r="1">
      <x v="3"/>
      <x/>
    </i>
    <i r="1">
      <x v="4"/>
      <x/>
    </i>
    <i r="1">
      <x v="6"/>
      <x/>
    </i>
    <i>
      <x v="9"/>
      <x v="3"/>
      <x/>
    </i>
    <i r="1">
      <x v="4"/>
      <x/>
    </i>
    <i r="1">
      <x v="6"/>
      <x/>
    </i>
    <i>
      <x v="10"/>
      <x v="6"/>
      <x/>
    </i>
    <i>
      <x v="11"/>
      <x v="6"/>
      <x/>
    </i>
    <i>
      <x v="12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 v="1"/>
    </i>
    <i r="1">
      <x v="6"/>
      <x/>
    </i>
    <i r="2">
      <x v="1"/>
    </i>
    <i>
      <x v="1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 v="1"/>
    </i>
    <i r="1">
      <x v="6"/>
      <x/>
    </i>
    <i r="2">
      <x v="1"/>
    </i>
    <i>
      <x v="14"/>
      <x/>
      <x v="1"/>
    </i>
    <i r="1">
      <x v="1"/>
      <x v="1"/>
    </i>
    <i r="1">
      <x v="2"/>
      <x v="1"/>
    </i>
    <i r="1">
      <x v="3"/>
      <x v="1"/>
    </i>
    <i r="1">
      <x v="4"/>
      <x v="1"/>
    </i>
    <i r="1">
      <x v="5"/>
      <x v="1"/>
    </i>
    <i r="1">
      <x v="6"/>
      <x/>
    </i>
    <i r="2">
      <x v="1"/>
    </i>
    <i>
      <x v="15"/>
      <x v="6"/>
      <x/>
    </i>
  </rowItems>
  <colFields count="1">
    <field x="4"/>
  </colFields>
  <colItems count="4">
    <i>
      <x/>
    </i>
    <i>
      <x v="1"/>
    </i>
    <i>
      <x v="2"/>
    </i>
    <i>
      <x v="3"/>
    </i>
  </colItems>
  <pageFields count="3">
    <pageField fld="0" hier="37" name="[IF].[departamento_jerarquia1].&amp;[281]" cap="281"/>
    <pageField fld="1" hier="38" name="[IF].[departamento_jerarquia2].[All]" cap="All"/>
    <pageField fld="7" hier="51" name="[IF].[nombre_metodologia].&amp;[VIRTUAL]" cap="VIRTUAL"/>
  </pageFields>
  <dataFields count="1">
    <dataField name="Suma de valor" fld="6" baseField="5" baseItem="0" numFmtId="38"/>
  </dataFields>
  <pivotHierarchies count="9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IF].[departamento_jerarquia1].&amp;[28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32"/>
    <rowHierarchyUsage hierarchyUsage="28"/>
    <rowHierarchyUsage hierarchyUsage="34"/>
  </rowHierarchiesUsage>
  <colHierarchiesUsage count="1">
    <colHierarchyUsage hierarchyUsage="2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F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E265A2-F806-45A0-943E-59FD46F1C909}" name="TablaDinámica3" cacheId="9" applyNumberFormats="0" applyBorderFormats="0" applyFontFormats="0" applyPatternFormats="0" applyAlignmentFormats="0" applyWidthHeightFormats="1" dataCaption="Valores" tag="4c4603eb-b12b-45f6-a143-0d4b957eeca6" updatedVersion="7" minRefreshableVersion="3" useAutoFormatting="1" subtotalHiddenItems="1" rowGrandTotals="0" colGrandTotals="0" itemPrintTitles="1" createdVersion="5" indent="0" compact="0" compactData="0" multipleFieldFilters="0">
  <location ref="AD4:AK14" firstHeaderRow="1" firstDataRow="2" firstDataCol="4" rowPageCount="2" colPageCount="1"/>
  <pivotFields count="8"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Col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dataField="1" compact="0" outline="0" subtotalTop="0" showAll="0" defaultSubtotal="0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s="1" x="0"/>
      </items>
    </pivotField>
  </pivotFields>
  <rowFields count="4">
    <field x="6"/>
    <field x="7"/>
    <field x="1"/>
    <field x="3"/>
  </rowFields>
  <rowItems count="9">
    <i>
      <x/>
      <x/>
      <x/>
      <x/>
    </i>
    <i r="2">
      <x v="1"/>
      <x/>
    </i>
    <i r="2">
      <x v="2"/>
      <x/>
    </i>
    <i r="2">
      <x v="3"/>
      <x/>
    </i>
    <i r="2">
      <x v="4"/>
      <x v="1"/>
    </i>
    <i r="3">
      <x/>
    </i>
    <i r="2">
      <x v="5"/>
      <x/>
    </i>
    <i r="2">
      <x v="6"/>
      <x v="1"/>
    </i>
    <i r="3">
      <x/>
    </i>
  </rowItems>
  <colFields count="1">
    <field x="2"/>
  </colFields>
  <colItems count="4">
    <i>
      <x/>
    </i>
    <i>
      <x v="1"/>
    </i>
    <i>
      <x v="2"/>
    </i>
    <i>
      <x v="3"/>
    </i>
  </colItems>
  <pageFields count="2">
    <pageField fld="0" hier="37" name="[IF].[departamento_jerarquia1].&amp;[281]" cap="281"/>
    <pageField fld="5" hier="52" name="[IF].[tipo_departamento].[All]" cap="All"/>
  </pageFields>
  <dataFields count="1">
    <dataField name="Suma de valor" fld="4" baseField="3" baseItem="0" numFmtId="38"/>
  </dataFields>
  <pivotHierarchies count="9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IF].[departamento_jerarquia1].&amp;[28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4">
    <rowHierarchyUsage hierarchyUsage="29"/>
    <rowHierarchyUsage hierarchyUsage="30"/>
    <rowHierarchyUsage hierarchyUsage="28"/>
    <rowHierarchyUsage hierarchyUsage="34"/>
  </rowHierarchiesUsage>
  <colHierarchiesUsage count="1">
    <colHierarchyUsage hierarchyUsage="2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F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B57424-4021-4288-BDE5-EED3CBA38C26}" name="TablaDinámica4" cacheId="5" applyNumberFormats="0" applyBorderFormats="0" applyFontFormats="0" applyPatternFormats="0" applyAlignmentFormats="0" applyWidthHeightFormats="1" dataCaption="Valores" tag="4c4603eb-b12b-45f6-a143-0d4b957eeca6" updatedVersion="7" minRefreshableVersion="3" useAutoFormatting="1" subtotalHiddenItems="1" rowGrandTotals="0" colGrandTotals="0" itemPrintTitles="1" createdVersion="5" indent="0" compact="0" compactData="0" multipleFieldFilters="0">
  <location ref="U4:AA183" firstHeaderRow="1" firstDataRow="2" firstDataCol="4" rowPageCount="2" colPageCount="1"/>
  <pivotFields count="8"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Col" compact="0" allDrilled="1" outline="0" subtotalTop="0" showAll="0" dataSourceSort="1" defaultSubtotal="0" defaultAttributeDrillState="1">
      <items count="3">
        <item x="0"/>
        <item x="1"/>
        <item x="2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dataField="1" compact="0" outline="0" subtotalTop="0" showAll="0" defaultSubtotal="0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axis="axisRow" compact="0" allDrilled="1" outline="0" subtotalTop="0" showAll="0" dataSourceSort="1" defaultSubtotal="0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</pivotFields>
  <rowFields count="4">
    <field x="6"/>
    <field x="7"/>
    <field x="1"/>
    <field x="3"/>
  </rowFields>
  <rowItems count="178">
    <i>
      <x/>
      <x/>
      <x/>
      <x/>
    </i>
    <i r="1">
      <x v="1"/>
      <x v="1"/>
      <x v="1"/>
    </i>
    <i r="2">
      <x v="2"/>
      <x v="1"/>
    </i>
    <i r="2">
      <x v="3"/>
      <x v="1"/>
    </i>
    <i r="2">
      <x v="4"/>
      <x v="1"/>
    </i>
    <i r="2">
      <x v="5"/>
      <x v="1"/>
    </i>
    <i r="2">
      <x v="6"/>
      <x v="1"/>
    </i>
    <i r="2">
      <x/>
      <x v="1"/>
    </i>
    <i r="1">
      <x v="2"/>
      <x/>
      <x/>
    </i>
    <i r="1">
      <x v="3"/>
      <x v="1"/>
      <x v="1"/>
    </i>
    <i r="2">
      <x v="2"/>
      <x v="1"/>
    </i>
    <i r="2">
      <x v="3"/>
      <x v="1"/>
    </i>
    <i r="2">
      <x v="4"/>
      <x v="1"/>
    </i>
    <i r="2">
      <x v="5"/>
      <x v="1"/>
    </i>
    <i r="2">
      <x v="6"/>
      <x v="1"/>
    </i>
    <i r="2">
      <x/>
      <x/>
    </i>
    <i r="3">
      <x v="1"/>
    </i>
    <i r="1">
      <x v="4"/>
      <x v="1"/>
      <x v="1"/>
    </i>
    <i r="2">
      <x v="2"/>
      <x v="1"/>
    </i>
    <i r="2">
      <x v="3"/>
      <x v="1"/>
    </i>
    <i r="2">
      <x v="4"/>
      <x v="1"/>
    </i>
    <i r="2">
      <x v="5"/>
      <x v="1"/>
    </i>
    <i r="2">
      <x v="6"/>
      <x v="1"/>
    </i>
    <i r="2">
      <x/>
      <x/>
    </i>
    <i r="3">
      <x v="1"/>
    </i>
    <i r="1">
      <x v="5"/>
      <x v="1"/>
      <x v="1"/>
    </i>
    <i r="2">
      <x v="2"/>
      <x v="1"/>
    </i>
    <i r="2">
      <x v="3"/>
      <x v="1"/>
    </i>
    <i r="2">
      <x v="4"/>
      <x v="1"/>
    </i>
    <i r="2">
      <x v="5"/>
      <x v="1"/>
    </i>
    <i r="2">
      <x v="6"/>
      <x v="1"/>
    </i>
    <i r="2">
      <x/>
      <x v="1"/>
    </i>
    <i r="1">
      <x v="6"/>
      <x/>
      <x/>
    </i>
    <i>
      <x v="1"/>
      <x v="2"/>
      <x v="1"/>
      <x v="1"/>
    </i>
    <i r="2">
      <x v="2"/>
      <x v="1"/>
    </i>
    <i r="2">
      <x v="3"/>
      <x v="1"/>
    </i>
    <i r="2">
      <x v="4"/>
      <x v="1"/>
    </i>
    <i r="2">
      <x v="5"/>
      <x v="1"/>
    </i>
    <i r="2">
      <x v="6"/>
      <x v="1"/>
    </i>
    <i r="2">
      <x/>
      <x v="1"/>
    </i>
    <i r="1">
      <x v="3"/>
      <x v="1"/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 v="1"/>
    </i>
    <i r="1">
      <x v="7"/>
      <x v="1"/>
      <x v="1"/>
    </i>
    <i r="2">
      <x v="2"/>
      <x v="1"/>
    </i>
    <i r="2">
      <x v="3"/>
      <x v="1"/>
    </i>
    <i r="2">
      <x v="4"/>
      <x v="1"/>
    </i>
    <i r="2">
      <x v="5"/>
      <x/>
    </i>
    <i r="3">
      <x v="1"/>
    </i>
    <i r="2">
      <x v="6"/>
      <x v="1"/>
    </i>
    <i r="2">
      <x/>
      <x v="1"/>
    </i>
    <i r="1">
      <x v="4"/>
      <x v="1"/>
      <x v="1"/>
    </i>
    <i r="2">
      <x v="2"/>
      <x v="1"/>
    </i>
    <i r="2">
      <x v="3"/>
      <x v="1"/>
    </i>
    <i r="2">
      <x v="4"/>
      <x v="1"/>
    </i>
    <i r="2">
      <x v="5"/>
      <x/>
    </i>
    <i r="3">
      <x v="1"/>
    </i>
    <i r="2">
      <x v="6"/>
      <x v="1"/>
    </i>
    <i r="2">
      <x/>
      <x v="1"/>
    </i>
    <i r="1">
      <x v="5"/>
      <x v="1"/>
      <x v="1"/>
    </i>
    <i r="2">
      <x v="2"/>
      <x v="1"/>
    </i>
    <i r="2">
      <x v="3"/>
      <x v="1"/>
    </i>
    <i r="2">
      <x v="4"/>
      <x v="1"/>
    </i>
    <i r="2">
      <x v="5"/>
      <x v="1"/>
    </i>
    <i r="2">
      <x v="6"/>
      <x v="1"/>
    </i>
    <i r="2">
      <x/>
      <x v="1"/>
    </i>
    <i r="1">
      <x v="8"/>
      <x v="1"/>
      <x v="1"/>
    </i>
    <i r="2">
      <x v="2"/>
      <x v="1"/>
    </i>
    <i r="2">
      <x v="3"/>
      <x v="1"/>
    </i>
    <i r="2">
      <x v="4"/>
      <x v="1"/>
    </i>
    <i r="2">
      <x v="5"/>
      <x v="1"/>
    </i>
    <i r="2">
      <x v="6"/>
      <x v="1"/>
    </i>
    <i r="2">
      <x/>
      <x v="1"/>
    </i>
    <i>
      <x v="2"/>
      <x v="3"/>
      <x v="1"/>
      <x v="1"/>
    </i>
    <i r="2">
      <x v="2"/>
      <x v="1"/>
    </i>
    <i r="2">
      <x v="3"/>
      <x v="1"/>
    </i>
    <i r="2">
      <x v="4"/>
      <x v="1"/>
    </i>
    <i r="2">
      <x v="5"/>
      <x/>
    </i>
    <i r="3">
      <x v="1"/>
    </i>
    <i r="2">
      <x v="6"/>
      <x v="1"/>
    </i>
    <i r="2">
      <x/>
      <x v="1"/>
    </i>
    <i r="1">
      <x v="4"/>
      <x v="1"/>
      <x v="1"/>
    </i>
    <i r="2">
      <x v="2"/>
      <x v="1"/>
    </i>
    <i r="2">
      <x v="3"/>
      <x v="1"/>
    </i>
    <i r="2">
      <x v="4"/>
      <x v="1"/>
    </i>
    <i r="2">
      <x v="5"/>
      <x/>
    </i>
    <i r="3">
      <x v="1"/>
    </i>
    <i r="2">
      <x v="6"/>
      <x v="1"/>
    </i>
    <i r="2">
      <x/>
      <x v="1"/>
    </i>
    <i r="1">
      <x v="9"/>
      <x v="1"/>
      <x v="1"/>
    </i>
    <i r="2">
      <x v="2"/>
      <x v="1"/>
    </i>
    <i r="2">
      <x v="3"/>
      <x v="1"/>
    </i>
    <i r="2">
      <x v="4"/>
      <x v="1"/>
    </i>
    <i r="2">
      <x v="5"/>
      <x/>
    </i>
    <i r="3">
      <x v="1"/>
    </i>
    <i r="2">
      <x v="6"/>
      <x v="1"/>
    </i>
    <i r="2">
      <x/>
      <x v="1"/>
    </i>
    <i>
      <x v="3"/>
      <x v="10"/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 v="1"/>
    </i>
    <i r="1">
      <x v="2"/>
      <x v="1"/>
      <x v="1"/>
    </i>
    <i r="2">
      <x v="2"/>
      <x v="1"/>
    </i>
    <i r="2">
      <x v="3"/>
      <x v="1"/>
    </i>
    <i r="2">
      <x v="4"/>
      <x v="1"/>
    </i>
    <i r="2">
      <x v="5"/>
      <x v="1"/>
    </i>
    <i r="2">
      <x v="6"/>
      <x v="1"/>
    </i>
    <i r="2">
      <x/>
      <x v="1"/>
    </i>
    <i r="1">
      <x v="3"/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 v="1"/>
    </i>
    <i r="1">
      <x v="7"/>
      <x v="1"/>
      <x v="1"/>
    </i>
    <i r="2">
      <x v="2"/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 v="1"/>
    </i>
    <i r="1">
      <x v="4"/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 v="1"/>
    </i>
    <i r="2">
      <x/>
      <x v="1"/>
    </i>
    <i r="1">
      <x v="9"/>
      <x v="1"/>
      <x/>
    </i>
    <i r="2">
      <x v="2"/>
      <x/>
    </i>
    <i r="2">
      <x v="3"/>
      <x/>
    </i>
    <i r="2">
      <x v="4"/>
      <x/>
    </i>
    <i r="2">
      <x v="5"/>
      <x/>
    </i>
    <i r="1">
      <x v="11"/>
      <x v="1"/>
      <x v="1"/>
    </i>
    <i r="2">
      <x v="2"/>
      <x v="1"/>
    </i>
    <i r="2">
      <x v="3"/>
      <x v="1"/>
    </i>
    <i r="2">
      <x v="4"/>
      <x v="1"/>
    </i>
    <i r="2">
      <x v="5"/>
      <x/>
    </i>
    <i r="3">
      <x v="1"/>
    </i>
    <i r="2">
      <x v="6"/>
      <x v="1"/>
    </i>
    <i r="2">
      <x/>
      <x v="1"/>
    </i>
    <i r="1">
      <x v="12"/>
      <x v="1"/>
      <x v="1"/>
    </i>
    <i r="2">
      <x v="2"/>
      <x v="1"/>
    </i>
    <i r="2">
      <x v="3"/>
      <x v="1"/>
    </i>
    <i r="2">
      <x v="4"/>
      <x v="1"/>
    </i>
    <i r="2">
      <x v="5"/>
      <x v="1"/>
    </i>
    <i r="2">
      <x v="6"/>
      <x v="1"/>
    </i>
    <i r="2">
      <x/>
      <x v="1"/>
    </i>
  </rowItems>
  <colFields count="1">
    <field x="2"/>
  </colFields>
  <colItems count="3">
    <i>
      <x/>
    </i>
    <i>
      <x v="1"/>
    </i>
    <i>
      <x v="2"/>
    </i>
  </colItems>
  <pageFields count="2">
    <pageField fld="0" hier="37" name="[IF].[departamento_jerarquia1].&amp;[281]" cap="281"/>
    <pageField fld="5" hier="52" name="[IF].[tipo_departamento].&amp;[EDUCACION CONTINUA]" cap="EDUCACION CONTINUA"/>
  </pageFields>
  <dataFields count="1">
    <dataField name="Suma de valor" fld="4" baseField="3" baseItem="0" numFmtId="38"/>
  </dataFields>
  <pivotHierarchies count="9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IF].[departamento_jerarquia1].&amp;[28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4">
    <rowHierarchyUsage hierarchyUsage="36"/>
    <rowHierarchyUsage hierarchyUsage="32"/>
    <rowHierarchyUsage hierarchyUsage="28"/>
    <rowHierarchyUsage hierarchyUsage="34"/>
  </rowHierarchiesUsage>
  <colHierarchiesUsage count="1">
    <colHierarchyUsage hierarchyUsage="2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F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epartamento_jerarquia1" xr10:uid="{D156DD42-08CE-4B5F-B62A-55781F107E31}" sourceName="[IF].[departamento_jerarquia1]">
  <pivotTables>
    <pivotTable tabId="2" name="TablaDinámica1"/>
    <pivotTable tabId="2" name="TablaDinámica2"/>
    <pivotTable tabId="2" name="TablaDinámica4"/>
    <pivotTable tabId="2" name="TablaDinámica5"/>
    <pivotTable tabId="2" name="TablaDinámica6"/>
    <pivotTable tabId="2" name="TablaDinámica7"/>
    <pivotTable tabId="2" name="TablaDinámica3"/>
  </pivotTables>
  <data>
    <olap pivotCacheId="450005248">
      <levels count="2">
        <level uniqueName="[IF].[departamento_jerarquia1].[(All)]" sourceCaption="(All)" count="0"/>
        <level uniqueName="[IF].[departamento_jerarquia1].[departamento_jerarquia1]" sourceCaption="departamento_jerarquia1" count="26">
          <ranges>
            <range startItem="0">
              <i n="[IF].[departamento_jerarquia1].&amp;[\N]" c="\N"/>
              <i n="[IF].[departamento_jerarquia1].&amp;[10]" c="10"/>
              <i n="[IF].[departamento_jerarquia1].&amp;[12]" c="12"/>
              <i n="[IF].[departamento_jerarquia1].&amp;[130]" c="130"/>
              <i n="[IF].[departamento_jerarquia1].&amp;[132]" c="132"/>
              <i n="[IF].[departamento_jerarquia1].&amp;[145]" c="145"/>
              <i n="[IF].[departamento_jerarquia1].&amp;[146]" c="146"/>
              <i n="[IF].[departamento_jerarquia1].&amp;[148]" c="148"/>
              <i n="[IF].[departamento_jerarquia1].&amp;[157]" c="157"/>
              <i n="[IF].[departamento_jerarquia1].&amp;[16]" c="16"/>
              <i n="[IF].[departamento_jerarquia1].&amp;[164]" c="164"/>
              <i n="[IF].[departamento_jerarquia1].&amp;[169]" c="169"/>
              <i n="[IF].[departamento_jerarquia1].&amp;[18]" c="18"/>
              <i n="[IF].[departamento_jerarquia1].&amp;[22]" c="22"/>
              <i n="[IF].[departamento_jerarquia1].&amp;[24]" c="24"/>
              <i n="[IF].[departamento_jerarquia1].&amp;[28]" c="28"/>
              <i n="[IF].[departamento_jerarquia1].&amp;[281]" c="281"/>
              <i n="[IF].[departamento_jerarquia1].&amp;[282]" c="282"/>
              <i n="[IF].[departamento_jerarquia1].&amp;[284]" c="284"/>
              <i n="[IF].[departamento_jerarquia1].&amp;[286]" c="286"/>
              <i n="[IF].[departamento_jerarquia1].&amp;[3]" c="3"/>
              <i n="[IF].[departamento_jerarquia1].&amp;[537]" c="537"/>
              <i n="[IF].[departamento_jerarquia1].&amp;[549]" c="549"/>
              <i n="[IF].[departamento_jerarquia1].&amp;[593]" c="593"/>
              <i n="[IF].[departamento_jerarquia1].&amp;[605]" c="605"/>
              <i n="[IF].[departamento_jerarquia1].&amp;[8]" c="8"/>
            </range>
          </ranges>
        </level>
      </levels>
      <selections count="1">
        <selection n="[IF].[departamento_jerarquia1].&amp;[281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ombre_departamento_padre" xr10:uid="{ECB2A031-5B5C-4CEC-A1F7-03BE69B70825}" sourceName="[poblacion_pregrado].[nombre_departamento_padre]">
  <pivotTables>
    <pivotTable tabId="10" name="TablaDinámica9"/>
    <pivotTable tabId="10" name="TablaDinámica1"/>
    <pivotTable tabId="10" name="TablaDinámica10"/>
  </pivotTables>
  <data>
    <olap pivotCacheId="2044347289">
      <levels count="2">
        <level uniqueName="[poblacion_pregrado].[nombre_departamento_padre].[(All)]" sourceCaption="(All)" count="0"/>
        <level uniqueName="[poblacion_pregrado].[nombre_departamento_padre].[nombre_departamento_padre]" sourceCaption="nombre_departamento_padre" count="9">
          <ranges>
            <range startItem="0">
              <i n="[poblacion_pregrado].[nombre_departamento_padre].&amp;[ESCUELA INTERN CIEN ECON Y ADM]" c="ESCUELA INTERN CIEN ECON Y ADM"/>
              <i n="[poblacion_pregrado].[nombre_departamento_padre].&amp;[FAC DE ENFERM Y REHABILITACION]" c="FAC DE ENFERM Y REHABILITACION"/>
              <i n="[poblacion_pregrado].[nombre_departamento_padre].&amp;[FAC DERECHO Y CIENC POLITICAS]" c="FAC DERECHO Y CIENC POLITICAS"/>
              <i n="[poblacion_pregrado].[nombre_departamento_padre].&amp;[FAC FILSOFIA Y CIENCIAS HUMNAS]" c="FAC FILSOFIA Y CIENCIAS HUMNAS"/>
              <i n="[poblacion_pregrado].[nombre_departamento_padre].&amp;[FACULTAD DE COMUNICACION]" c="FACULTAD DE COMUNICACION"/>
              <i n="[poblacion_pregrado].[nombre_departamento_padre].&amp;[FACULTAD DE EDUCACION]" c="FACULTAD DE EDUCACION"/>
              <i n="[poblacion_pregrado].[nombre_departamento_padre].&amp;[FACULTAD DE INGENIERIA]" c="FACULTAD DE INGENIERIA"/>
              <i n="[poblacion_pregrado].[nombre_departamento_padre].&amp;[FACULTAD DE MEDICINA]" c="FACULTAD DE MEDICINA"/>
              <i n="[poblacion_pregrado].[nombre_departamento_padre].&amp;[FACULTAD DE PSICOLOGIA]" c="FACULTAD DE PSICOLOGIA"/>
            </range>
          </ranges>
        </level>
      </levels>
      <selections count="1">
        <selection n="[poblacion_pregrado].[nombre_departamento_padre].&amp;[FACULTAD DE COMUNICACION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ombre_departamento_padre1" xr10:uid="{8C5D5D80-3911-473F-9BBF-C61C4504AF99}" sourceName="[poblacion_postgrado].[nombre_departamento_padre]">
  <pivotTables>
    <pivotTable tabId="11" name="TablaDinámica6"/>
    <pivotTable tabId="11" name="TablaDinámica7"/>
    <pivotTable tabId="11" name="TablaDinámica8"/>
  </pivotTables>
  <data>
    <olap pivotCacheId="399968312">
      <levels count="2">
        <level uniqueName="[poblacion_postgrado].[nombre_departamento_padre].[(All)]" sourceCaption="(All)" count="0"/>
        <level uniqueName="[poblacion_postgrado].[nombre_departamento_padre].[nombre_departamento_padre]" sourceCaption="nombre_departamento_padre" count="14">
          <ranges>
            <range startItem="0">
              <i n="[poblacion_postgrado].[nombre_departamento_padre].&amp;[ESCUELA INTERN CIEN ECON Y ADM]" c="ESCUELA INTERN CIEN ECON Y ADM"/>
              <i n="[poblacion_postgrado].[nombre_departamento_padre].&amp;[FAC DE ENFERM Y REHABILITACION]" c="FAC DE ENFERM Y REHABILITACION"/>
              <i n="[poblacion_postgrado].[nombre_departamento_padre].&amp;[FAC DERECHO Y CIENC POLITICAS]" c="FAC DERECHO Y CIENC POLITICAS"/>
              <i n="[poblacion_postgrado].[nombre_departamento_padre].&amp;[FAC FILSOFIA Y CIENCIAS HUMNAS]" c="FAC FILSOFIA Y CIENCIAS HUMNAS"/>
              <i n="[poblacion_postgrado].[nombre_departamento_padre].&amp;[FACULTAD DE COMUNICACION]" c="FACULTAD DE COMUNICACION"/>
              <i n="[poblacion_postgrado].[nombre_departamento_padre].&amp;[FACULTAD DE EDUCACION]" c="FACULTAD DE EDUCACION"/>
              <i n="[poblacion_postgrado].[nombre_departamento_padre].&amp;[FACULTAD DE INGENIERIA]" c="FACULTAD DE INGENIERIA"/>
              <i n="[poblacion_postgrado].[nombre_departamento_padre].&amp;[FACULTAD DE MEDICINA]" c="FACULTAD DE MEDICINA"/>
              <i n="[poblacion_postgrado].[nombre_departamento_padre].&amp;[FACULTAD DE PSICOLOGIA]" c="FACULTAD DE PSICOLOGIA"/>
              <i n="[poblacion_postgrado].[nombre_departamento_padre].&amp;[INALDE]" c="INALDE"/>
              <i n="[poblacion_postgrado].[nombre_departamento_padre].&amp;[INSTITUTO FORUM]" c="INSTITUTO FORUM"/>
              <i n="[poblacion_postgrado].[nombre_departamento_padre].&amp;[TOT CNTRO TECNOL PARA LA ACAD]" c="TOT CNTRO TECNOL PARA LA ACAD"/>
              <i n="[poblacion_postgrado].[nombre_departamento_padre].&amp;[TOTAL CTRO INTNAL LENG Y CULT]" c="TOTAL CTRO INTNAL LENG Y CULT"/>
              <i n="[poblacion_postgrado].[nombre_departamento_padre].&amp;[TOTAL INSTITUTO DE LA FAMILIA]" c="TOTAL INSTITUTO DE LA FAMILIA"/>
            </range>
          </ranges>
        </level>
      </levels>
      <selections count="1">
        <selection n="[poblacion_postgrado].[nombre_departamento_padre].&amp;[TOTAL INSTITUTO DE LA FAMILIA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partamento_jerarquia1 1" xr10:uid="{D4B662EF-6FB7-4151-AA98-FCBAC6EA895D}" cache="SegmentaciónDeDatos_departamento_jerarquia1" caption="departamento_jerarquia1" startItem="10" level="1" rowHeight="241300"/>
  <slicer name="nombre_departamento_padre 2" xr10:uid="{2853D6A0-79FE-464C-A3BC-EBAD92B78F9C}" cache="SegmentaciónDeDatos_nombre_departamento_padre" caption="nombre_departamento_padre" startItem="1" level="1" rowHeight="241300"/>
  <slicer name="nombre_departamento_padre 3" xr10:uid="{89356C74-1CAB-4AA4-B7EA-FB0468DB2AD3}" cache="SegmentaciónDeDatos_nombre_departamento_padre1" caption="nombre_departamento_padre" startItem="6" level="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ombre_departamento_padre" xr10:uid="{572269A4-E07A-44F0-9603-4EFEBFBFF77D}" cache="SegmentaciónDeDatos_nombre_departamento_padre" caption="nombre_departamento_padre" level="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ombre_departamento_padre 1" xr10:uid="{8F97CCB7-AC9B-4D78-96D8-70DEED57FB9E}" cache="SegmentaciónDeDatos_nombre_departamento_padre1" caption="nombre_departamento_padre" level="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partamento_jerarquia1" xr10:uid="{46827294-DB36-4A50-A770-C019DD7F3802}" cache="SegmentaciónDeDatos_departamento_jerarquia1" caption="departamento_jerarquia1" startItem="19" level="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278D972-6D84-4CE8-9E63-B36B50AD2BFA}" name="tipo_departamento" displayName="tipo_departamento" ref="A1:D111" totalsRowShown="0">
  <autoFilter ref="A1:D111" xr:uid="{CBB00463-345C-4407-8B0B-F72E28943962}"/>
  <tableColumns count="4">
    <tableColumn id="1" xr3:uid="{4E863BD7-A4CD-4211-AF4C-DBC289CA49F8}" name="id">
      <calculatedColumnFormula>tipo_departamento[[#This Row],[departamento_padre]]&amp;"-"&amp;tipo_departamento[[#This Row],[tipo_departamento]]</calculatedColumnFormula>
    </tableColumn>
    <tableColumn id="2" xr3:uid="{442EAFEB-CAF0-4BD9-A4AE-924052EE848B}" name="departamento_padre"/>
    <tableColumn id="3" xr3:uid="{C45FAB18-4A11-4049-A501-3952CDDC2A0B}" name="departamento_hijo"/>
    <tableColumn id="4" xr3:uid="{A80DE034-F33F-47AB-953F-6B596E08D237}" name="tipo_departamento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4064B80-3CB3-47CE-A8B8-4DE245AB4DCB}" name="unidades" displayName="unidades" ref="A1:B14" totalsRowShown="0">
  <autoFilter ref="A1:B14" xr:uid="{821A2D68-3716-47C7-B893-B692D0659B2B}"/>
  <tableColumns count="2">
    <tableColumn id="1" xr3:uid="{34283BAC-BC5B-4C31-B124-FF4A3E8E7EF7}" name="dpto"/>
    <tableColumn id="2" xr3:uid="{4D744131-EFE0-47E6-9DF1-56DECA1298A0}" name="nombre_dpto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AA89E37-E7AD-4EBB-B03F-BD7B6E7A75AD}" name="ipc" displayName="ipc" ref="E1:G4" totalsRowShown="0">
  <autoFilter ref="E1:G4" xr:uid="{AB248B94-774A-4D5E-9A1D-1CCBA05873BA}"/>
  <tableColumns count="3">
    <tableColumn id="1" xr3:uid="{DAD583BF-B0E6-4710-A42C-676B1BAD9515}" name="ano" dataDxfId="2"/>
    <tableColumn id="2" xr3:uid="{2C29B20D-268B-4F79-BFFB-882CDFABFF8C}" name="ipc" dataDxfId="1" dataCellStyle="Porcentaje"/>
    <tableColumn id="3" xr3:uid="{D1EC0565-90BD-4FDC-96D6-B8631A6723E1}" name="ipc_acumulado" dataDxfId="0" dataCellStyle="Porcentaje">
      <calculatedColumnFormula>FVSCHEDULE(1,F3:$F$4)-1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4C9231D-A143-4229-840D-E22A019E8CCB}" name="tipo_moneda" displayName="tipo_moneda" ref="I1:I3" totalsRowShown="0">
  <autoFilter ref="I1:I3" xr:uid="{A591A294-DCB6-42BF-98AE-6E5F932B7C7B}"/>
  <tableColumns count="1">
    <tableColumn id="1" xr3:uid="{D4B9D906-6EA4-421C-8540-DFF130C2FFB7}" name="tipo_moned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microsoft.com/office/2007/relationships/slicer" Target="../slicers/slicer2.xml"/><Relationship Id="rId4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6" Type="http://schemas.microsoft.com/office/2007/relationships/slicer" Target="../slicers/slicer3.xm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8.xml"/><Relationship Id="rId3" Type="http://schemas.openxmlformats.org/officeDocument/2006/relationships/pivotTable" Target="../pivotTables/pivotTable9.xml"/><Relationship Id="rId7" Type="http://schemas.openxmlformats.org/officeDocument/2006/relationships/pivotTable" Target="../pivotTables/pivotTable1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4" Type="http://schemas.openxmlformats.org/officeDocument/2006/relationships/pivotTable" Target="../pivotTables/pivotTable10.xml"/><Relationship Id="rId9" Type="http://schemas.microsoft.com/office/2007/relationships/slicer" Target="../slicers/slicer4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omments" Target="../comments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microsoft.com/office/2007/relationships/slicer" Target="../slicers/slicer1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FB028-3CD2-40C9-8960-09FD1056F8F3}">
  <dimension ref="A1:G96"/>
  <sheetViews>
    <sheetView tabSelected="1" topLeftCell="A22" zoomScale="90" zoomScaleNormal="90" workbookViewId="0">
      <selection activeCell="A4" sqref="A4"/>
    </sheetView>
  </sheetViews>
  <sheetFormatPr baseColWidth="10" defaultColWidth="39.85546875" defaultRowHeight="36.75" customHeight="1" x14ac:dyDescent="0.25"/>
  <cols>
    <col min="1" max="1" width="43.7109375" style="331" customWidth="1"/>
    <col min="2" max="2" width="24" style="331" customWidth="1"/>
    <col min="3" max="3" width="18" style="331" customWidth="1"/>
    <col min="4" max="4" width="16.7109375" style="331" customWidth="1"/>
    <col min="5" max="5" width="36.28515625" style="331" customWidth="1"/>
    <col min="6" max="6" width="19.85546875" style="331" customWidth="1"/>
    <col min="7" max="7" width="25.42578125" style="331" customWidth="1"/>
    <col min="8" max="16384" width="39.85546875" style="331"/>
  </cols>
  <sheetData>
    <row r="1" spans="1:7" ht="30.75" customHeight="1" x14ac:dyDescent="0.25">
      <c r="A1" s="446" t="s">
        <v>1056</v>
      </c>
    </row>
    <row r="2" spans="1:7" ht="8.25" customHeight="1" x14ac:dyDescent="0.25">
      <c r="A2" s="446"/>
    </row>
    <row r="3" spans="1:7" ht="48.75" customHeight="1" thickBot="1" x14ac:dyDescent="0.3">
      <c r="A3" s="459" t="s">
        <v>1063</v>
      </c>
      <c r="B3" s="459"/>
      <c r="C3" s="459"/>
      <c r="E3" s="460" t="s">
        <v>1066</v>
      </c>
      <c r="F3" s="460"/>
      <c r="G3" s="460"/>
    </row>
    <row r="4" spans="1:7" ht="39.75" customHeight="1" thickBot="1" x14ac:dyDescent="0.3">
      <c r="A4" s="443" t="s">
        <v>1045</v>
      </c>
      <c r="B4" s="444" t="s">
        <v>1046</v>
      </c>
      <c r="C4" s="411" t="s">
        <v>1047</v>
      </c>
      <c r="E4" s="411" t="s">
        <v>1049</v>
      </c>
      <c r="F4" s="411" t="s">
        <v>969</v>
      </c>
      <c r="G4" s="411" t="s">
        <v>1047</v>
      </c>
    </row>
    <row r="5" spans="1:7" ht="37.5" customHeight="1" thickBot="1" x14ac:dyDescent="0.3">
      <c r="A5" s="412" t="s">
        <v>1057</v>
      </c>
      <c r="B5" s="413">
        <f>254370000/1000</f>
        <v>254370</v>
      </c>
      <c r="C5" s="445" t="s">
        <v>406</v>
      </c>
      <c r="E5" s="412" t="s">
        <v>1050</v>
      </c>
      <c r="F5" s="413">
        <v>333000</v>
      </c>
      <c r="G5" s="445" t="s">
        <v>406</v>
      </c>
    </row>
    <row r="6" spans="1:7" ht="39.75" customHeight="1" thickBot="1" x14ac:dyDescent="0.3">
      <c r="A6" s="412" t="s">
        <v>1058</v>
      </c>
      <c r="B6" s="413">
        <f>106000000/1000</f>
        <v>106000</v>
      </c>
      <c r="C6" s="445" t="s">
        <v>406</v>
      </c>
      <c r="E6" s="412" t="s">
        <v>1064</v>
      </c>
      <c r="F6" s="413">
        <f>444000*0.7</f>
        <v>310800</v>
      </c>
      <c r="G6" s="445" t="s">
        <v>406</v>
      </c>
    </row>
    <row r="7" spans="1:7" ht="39.75" customHeight="1" thickBot="1" x14ac:dyDescent="0.3">
      <c r="A7" s="412" t="s">
        <v>1059</v>
      </c>
      <c r="B7" s="413">
        <v>39960.800000000003</v>
      </c>
      <c r="C7" s="445" t="s">
        <v>417</v>
      </c>
      <c r="E7" s="412" t="s">
        <v>1054</v>
      </c>
      <c r="F7" s="413">
        <v>59900</v>
      </c>
      <c r="G7" s="445" t="s">
        <v>417</v>
      </c>
    </row>
    <row r="8" spans="1:7" ht="55.5" customHeight="1" thickBot="1" x14ac:dyDescent="0.3">
      <c r="A8" s="412" t="s">
        <v>1060</v>
      </c>
      <c r="B8" s="413">
        <v>19000</v>
      </c>
      <c r="C8" s="445" t="s">
        <v>417</v>
      </c>
      <c r="E8" s="412" t="s">
        <v>1052</v>
      </c>
      <c r="F8" s="413">
        <v>110000</v>
      </c>
      <c r="G8" s="445" t="s">
        <v>417</v>
      </c>
    </row>
    <row r="9" spans="1:7" ht="25.5" customHeight="1" thickBot="1" x14ac:dyDescent="0.3">
      <c r="A9" s="412" t="s">
        <v>1067</v>
      </c>
      <c r="B9" s="413">
        <v>0</v>
      </c>
      <c r="C9" s="445" t="s">
        <v>417</v>
      </c>
      <c r="E9" s="412" t="s">
        <v>1055</v>
      </c>
      <c r="F9" s="413">
        <v>30000</v>
      </c>
      <c r="G9" s="445" t="s">
        <v>417</v>
      </c>
    </row>
    <row r="10" spans="1:7" ht="36.75" customHeight="1" thickBot="1" x14ac:dyDescent="0.3">
      <c r="A10" s="412" t="s">
        <v>1061</v>
      </c>
      <c r="B10" s="413">
        <v>0</v>
      </c>
      <c r="C10" s="445" t="s">
        <v>417</v>
      </c>
      <c r="E10" s="412" t="s">
        <v>1053</v>
      </c>
      <c r="F10" s="413">
        <v>100000</v>
      </c>
      <c r="G10" s="445" t="s">
        <v>417</v>
      </c>
    </row>
    <row r="11" spans="1:7" ht="27.75" customHeight="1" thickBot="1" x14ac:dyDescent="0.3">
      <c r="A11" s="412" t="s">
        <v>1062</v>
      </c>
      <c r="B11" s="413">
        <v>12000</v>
      </c>
      <c r="C11" s="445" t="s">
        <v>417</v>
      </c>
      <c r="E11" s="412" t="s">
        <v>1065</v>
      </c>
      <c r="F11" s="413">
        <v>60000</v>
      </c>
      <c r="G11" s="445" t="s">
        <v>417</v>
      </c>
    </row>
    <row r="12" spans="1:7" ht="24" customHeight="1" thickBot="1" x14ac:dyDescent="0.3">
      <c r="A12" s="443" t="s">
        <v>373</v>
      </c>
      <c r="B12" s="444">
        <f>SUM(B5:B11)</f>
        <v>431330.8</v>
      </c>
      <c r="C12" s="445"/>
      <c r="E12" s="412" t="s">
        <v>1051</v>
      </c>
      <c r="F12" s="413">
        <v>128750</v>
      </c>
      <c r="G12" s="445" t="s">
        <v>417</v>
      </c>
    </row>
    <row r="13" spans="1:7" ht="27" customHeight="1" thickBot="1" x14ac:dyDescent="0.3">
      <c r="E13" s="443" t="s">
        <v>373</v>
      </c>
      <c r="F13" s="444">
        <f>SUM(F5:F12)</f>
        <v>1132450</v>
      </c>
      <c r="G13" s="445"/>
    </row>
    <row r="15" spans="1:7" ht="36.75" customHeight="1" x14ac:dyDescent="0.25">
      <c r="A15" s="410"/>
    </row>
    <row r="17" spans="1:6" ht="36.75" customHeight="1" x14ac:dyDescent="0.25">
      <c r="A17" s="330" t="s">
        <v>981</v>
      </c>
    </row>
    <row r="18" spans="1:6" ht="36.75" customHeight="1" x14ac:dyDescent="0.25">
      <c r="A18" s="330"/>
    </row>
    <row r="19" spans="1:6" ht="36.75" customHeight="1" x14ac:dyDescent="0.25">
      <c r="A19" s="330" t="s">
        <v>957</v>
      </c>
    </row>
    <row r="20" spans="1:6" ht="36.75" customHeight="1" x14ac:dyDescent="0.25">
      <c r="A20" s="336" t="s">
        <v>993</v>
      </c>
      <c r="B20" s="337" t="s">
        <v>994</v>
      </c>
      <c r="D20" s="414" t="s">
        <v>997</v>
      </c>
      <c r="E20" s="337" t="s">
        <v>974</v>
      </c>
      <c r="F20" s="337" t="s">
        <v>975</v>
      </c>
    </row>
    <row r="21" spans="1:6" ht="36.75" customHeight="1" x14ac:dyDescent="0.25">
      <c r="A21" s="339" t="s">
        <v>996</v>
      </c>
      <c r="B21" s="338" t="s">
        <v>995</v>
      </c>
      <c r="D21" s="415" t="s">
        <v>264</v>
      </c>
      <c r="E21" s="416">
        <v>98272000</v>
      </c>
      <c r="F21" s="417">
        <v>1</v>
      </c>
    </row>
    <row r="22" spans="1:6" ht="36.75" customHeight="1" x14ac:dyDescent="0.25">
      <c r="A22" s="330"/>
      <c r="D22" s="415" t="s">
        <v>972</v>
      </c>
      <c r="E22" s="418">
        <v>62300000</v>
      </c>
      <c r="F22" s="417">
        <f>+E22/$E$21</f>
        <v>0.63395473787040058</v>
      </c>
    </row>
    <row r="23" spans="1:6" ht="36.75" customHeight="1" x14ac:dyDescent="0.25">
      <c r="A23" s="330"/>
      <c r="D23" s="419" t="s">
        <v>969</v>
      </c>
      <c r="E23" s="420">
        <f>+E21-E22</f>
        <v>35972000</v>
      </c>
      <c r="F23" s="421">
        <f t="shared" ref="F23:F25" si="0">+E23/$E$21</f>
        <v>0.36604526212959948</v>
      </c>
    </row>
    <row r="24" spans="1:6" ht="36.75" customHeight="1" x14ac:dyDescent="0.25">
      <c r="A24" s="330" t="s">
        <v>991</v>
      </c>
      <c r="D24" s="415" t="s">
        <v>971</v>
      </c>
      <c r="E24" s="416">
        <v>16000000</v>
      </c>
      <c r="F24" s="417">
        <f t="shared" si="0"/>
        <v>0.16281341582546402</v>
      </c>
    </row>
    <row r="25" spans="1:6" ht="36.75" customHeight="1" x14ac:dyDescent="0.25">
      <c r="A25" s="333" t="s">
        <v>990</v>
      </c>
      <c r="B25" s="335" t="s">
        <v>974</v>
      </c>
      <c r="D25" s="419" t="s">
        <v>970</v>
      </c>
      <c r="E25" s="420">
        <f>+E23-E24</f>
        <v>19972000</v>
      </c>
      <c r="F25" s="421">
        <f t="shared" si="0"/>
        <v>0.20323184630413546</v>
      </c>
    </row>
    <row r="26" spans="1:6" ht="36.75" customHeight="1" x14ac:dyDescent="0.25">
      <c r="A26" s="422" t="s">
        <v>920</v>
      </c>
      <c r="B26" s="368">
        <f>2000*3800</f>
        <v>7600000</v>
      </c>
    </row>
    <row r="27" spans="1:6" ht="36.75" customHeight="1" x14ac:dyDescent="0.25">
      <c r="A27" s="422" t="s">
        <v>921</v>
      </c>
      <c r="B27" s="368">
        <f>336*3800</f>
        <v>1276800</v>
      </c>
      <c r="D27" s="414" t="s">
        <v>997</v>
      </c>
      <c r="E27" s="337" t="s">
        <v>974</v>
      </c>
      <c r="F27" s="337" t="s">
        <v>975</v>
      </c>
    </row>
    <row r="28" spans="1:6" ht="36.75" customHeight="1" x14ac:dyDescent="0.25">
      <c r="A28" s="334" t="s">
        <v>987</v>
      </c>
      <c r="B28" s="368">
        <v>3000000</v>
      </c>
      <c r="D28" s="415" t="s">
        <v>264</v>
      </c>
      <c r="E28" s="416">
        <f>+E21*3</f>
        <v>294816000</v>
      </c>
      <c r="F28" s="417">
        <v>1</v>
      </c>
    </row>
    <row r="29" spans="1:6" ht="36.75" customHeight="1" x14ac:dyDescent="0.25">
      <c r="A29" s="423" t="s">
        <v>988</v>
      </c>
      <c r="B29" s="368">
        <v>15000000</v>
      </c>
      <c r="D29" s="415" t="s">
        <v>972</v>
      </c>
      <c r="E29" s="416">
        <f t="shared" ref="E29:E32" si="1">+E22*3</f>
        <v>186900000</v>
      </c>
      <c r="F29" s="417">
        <f>+E29/+$E$28</f>
        <v>0.63395473787040058</v>
      </c>
    </row>
    <row r="30" spans="1:6" ht="36.75" customHeight="1" x14ac:dyDescent="0.25">
      <c r="A30" s="360" t="s">
        <v>989</v>
      </c>
      <c r="B30" s="368">
        <v>1000000</v>
      </c>
      <c r="D30" s="419" t="s">
        <v>969</v>
      </c>
      <c r="E30" s="420">
        <f t="shared" si="1"/>
        <v>107916000</v>
      </c>
      <c r="F30" s="421">
        <f t="shared" ref="F30:F32" si="2">+E30/+$E$28</f>
        <v>0.36604526212959948</v>
      </c>
    </row>
    <row r="31" spans="1:6" ht="36.75" customHeight="1" x14ac:dyDescent="0.25">
      <c r="A31" s="360" t="s">
        <v>992</v>
      </c>
      <c r="B31" s="368">
        <v>12084000</v>
      </c>
      <c r="D31" s="415" t="s">
        <v>971</v>
      </c>
      <c r="E31" s="416">
        <f t="shared" si="1"/>
        <v>48000000</v>
      </c>
      <c r="F31" s="417">
        <f t="shared" si="2"/>
        <v>0.16281341582546402</v>
      </c>
    </row>
    <row r="32" spans="1:6" ht="36.75" customHeight="1" x14ac:dyDescent="0.25">
      <c r="A32" s="424" t="s">
        <v>373</v>
      </c>
      <c r="B32" s="425">
        <f>SUM(B26:B31)</f>
        <v>39960800</v>
      </c>
      <c r="D32" s="419" t="s">
        <v>970</v>
      </c>
      <c r="E32" s="420">
        <f t="shared" si="1"/>
        <v>59916000</v>
      </c>
      <c r="F32" s="421">
        <f t="shared" si="2"/>
        <v>0.20323184630413546</v>
      </c>
    </row>
    <row r="33" spans="1:6" ht="36.75" customHeight="1" x14ac:dyDescent="0.25">
      <c r="A33" s="424"/>
      <c r="B33" s="426"/>
      <c r="D33" s="427"/>
      <c r="E33" s="428"/>
      <c r="F33" s="429"/>
    </row>
    <row r="34" spans="1:6" ht="36.75" customHeight="1" x14ac:dyDescent="0.25">
      <c r="A34" s="424"/>
      <c r="B34" s="426"/>
      <c r="D34" s="415" t="s">
        <v>998</v>
      </c>
      <c r="E34" s="416">
        <f>+B32/3</f>
        <v>13320266.666666666</v>
      </c>
      <c r="F34" s="429"/>
    </row>
    <row r="35" spans="1:6" ht="36.75" customHeight="1" x14ac:dyDescent="0.25">
      <c r="A35" s="424"/>
      <c r="B35" s="426"/>
      <c r="D35" s="427"/>
      <c r="E35" s="428"/>
      <c r="F35" s="429"/>
    </row>
    <row r="37" spans="1:6" ht="36.75" customHeight="1" x14ac:dyDescent="0.25">
      <c r="A37" s="330" t="s">
        <v>982</v>
      </c>
    </row>
    <row r="39" spans="1:6" ht="36.75" customHeight="1" x14ac:dyDescent="0.25">
      <c r="A39" s="330" t="s">
        <v>954</v>
      </c>
    </row>
    <row r="41" spans="1:6" ht="36.75" customHeight="1" x14ac:dyDescent="0.25">
      <c r="A41" s="333" t="s">
        <v>957</v>
      </c>
    </row>
    <row r="42" spans="1:6" ht="36.75" customHeight="1" x14ac:dyDescent="0.25">
      <c r="A42" s="339" t="s">
        <v>952</v>
      </c>
      <c r="B42" s="338" t="s">
        <v>955</v>
      </c>
    </row>
    <row r="43" spans="1:6" ht="36.75" customHeight="1" x14ac:dyDescent="0.25">
      <c r="A43" s="375" t="s">
        <v>953</v>
      </c>
      <c r="B43" s="372">
        <f>106/3</f>
        <v>35.333333333333336</v>
      </c>
    </row>
    <row r="44" spans="1:6" ht="36.75" customHeight="1" x14ac:dyDescent="0.25">
      <c r="A44" s="339" t="s">
        <v>958</v>
      </c>
      <c r="B44" s="430" t="s">
        <v>959</v>
      </c>
    </row>
    <row r="45" spans="1:6" ht="36.75" customHeight="1" x14ac:dyDescent="0.25">
      <c r="A45" s="339" t="s">
        <v>956</v>
      </c>
      <c r="B45" s="423" t="s">
        <v>962</v>
      </c>
    </row>
    <row r="48" spans="1:6" ht="36.75" customHeight="1" x14ac:dyDescent="0.25">
      <c r="A48" s="431" t="s">
        <v>961</v>
      </c>
    </row>
    <row r="49" spans="1:6" ht="36.75" customHeight="1" x14ac:dyDescent="0.25">
      <c r="A49" s="432" t="s">
        <v>960</v>
      </c>
      <c r="B49" s="335" t="s">
        <v>966</v>
      </c>
      <c r="C49" s="335" t="s">
        <v>967</v>
      </c>
      <c r="D49" s="335" t="s">
        <v>264</v>
      </c>
    </row>
    <row r="50" spans="1:6" ht="36.75" customHeight="1" x14ac:dyDescent="0.25">
      <c r="A50" s="373" t="s">
        <v>963</v>
      </c>
      <c r="B50" s="372">
        <f>35*3</f>
        <v>105</v>
      </c>
      <c r="C50" s="368">
        <v>1600000</v>
      </c>
      <c r="D50" s="374">
        <f>+B50*C50</f>
        <v>168000000</v>
      </c>
      <c r="F50" s="433" t="s">
        <v>968</v>
      </c>
    </row>
    <row r="51" spans="1:6" ht="36.75" customHeight="1" x14ac:dyDescent="0.25">
      <c r="A51" s="373" t="s">
        <v>964</v>
      </c>
      <c r="B51" s="372">
        <f>+B50*0.6</f>
        <v>63</v>
      </c>
      <c r="C51" s="368">
        <v>7000000</v>
      </c>
      <c r="D51" s="374">
        <f t="shared" ref="D51:D52" si="3">+B51*C51</f>
        <v>441000000</v>
      </c>
    </row>
    <row r="52" spans="1:6" ht="36.75" customHeight="1" x14ac:dyDescent="0.25">
      <c r="A52" s="373" t="s">
        <v>965</v>
      </c>
      <c r="B52" s="372">
        <f>+B51*0.2</f>
        <v>12.600000000000001</v>
      </c>
      <c r="C52" s="368">
        <v>14000000</v>
      </c>
      <c r="D52" s="374">
        <f t="shared" si="3"/>
        <v>176400000.00000003</v>
      </c>
    </row>
    <row r="53" spans="1:6" ht="36.75" customHeight="1" x14ac:dyDescent="0.25">
      <c r="A53" s="375" t="s">
        <v>373</v>
      </c>
      <c r="B53" s="373"/>
      <c r="C53" s="373"/>
      <c r="D53" s="376">
        <f>SUM(D50:D52)</f>
        <v>785400000</v>
      </c>
    </row>
    <row r="55" spans="1:6" ht="36.75" customHeight="1" x14ac:dyDescent="0.25">
      <c r="A55" s="410" t="s">
        <v>973</v>
      </c>
      <c r="B55" s="335" t="s">
        <v>974</v>
      </c>
      <c r="C55" s="335" t="s">
        <v>975</v>
      </c>
    </row>
    <row r="56" spans="1:6" ht="36.75" customHeight="1" x14ac:dyDescent="0.25">
      <c r="A56" s="434" t="s">
        <v>264</v>
      </c>
      <c r="B56" s="435">
        <f>+D53</f>
        <v>785400000</v>
      </c>
      <c r="C56" s="436">
        <v>1</v>
      </c>
    </row>
    <row r="57" spans="1:6" ht="36.75" customHeight="1" x14ac:dyDescent="0.25">
      <c r="A57" s="437" t="s">
        <v>972</v>
      </c>
      <c r="B57" s="435">
        <f>+B56*0.6</f>
        <v>471240000</v>
      </c>
      <c r="C57" s="436">
        <f>+B57/B56</f>
        <v>0.6</v>
      </c>
    </row>
    <row r="58" spans="1:6" ht="36.75" customHeight="1" x14ac:dyDescent="0.25">
      <c r="A58" s="438" t="s">
        <v>969</v>
      </c>
      <c r="B58" s="439">
        <f>+B56-B57</f>
        <v>314160000</v>
      </c>
      <c r="C58" s="436">
        <f>+B58/B56</f>
        <v>0.4</v>
      </c>
    </row>
    <row r="59" spans="1:6" ht="36.75" customHeight="1" x14ac:dyDescent="0.25">
      <c r="A59" s="437" t="s">
        <v>971</v>
      </c>
      <c r="B59" s="435">
        <f>+B58*0.3</f>
        <v>94248000</v>
      </c>
      <c r="C59" s="440">
        <f>+B59/B56</f>
        <v>0.12</v>
      </c>
    </row>
    <row r="60" spans="1:6" ht="36.75" customHeight="1" x14ac:dyDescent="0.25">
      <c r="A60" s="441" t="s">
        <v>970</v>
      </c>
      <c r="B60" s="439">
        <f>+B58-B59</f>
        <v>219912000</v>
      </c>
      <c r="C60" s="440">
        <f>+B60/B56</f>
        <v>0.28000000000000003</v>
      </c>
    </row>
    <row r="62" spans="1:6" ht="36.75" customHeight="1" x14ac:dyDescent="0.25">
      <c r="A62" s="330" t="s">
        <v>976</v>
      </c>
    </row>
    <row r="63" spans="1:6" ht="36.75" customHeight="1" x14ac:dyDescent="0.25">
      <c r="A63" s="423" t="s">
        <v>977</v>
      </c>
      <c r="B63" s="368">
        <v>15000000</v>
      </c>
    </row>
    <row r="64" spans="1:6" ht="36.75" customHeight="1" x14ac:dyDescent="0.25">
      <c r="A64" s="373" t="s">
        <v>978</v>
      </c>
      <c r="B64" s="368">
        <v>4000000</v>
      </c>
    </row>
    <row r="65" spans="1:2" ht="36.75" customHeight="1" x14ac:dyDescent="0.25">
      <c r="A65" s="423" t="s">
        <v>979</v>
      </c>
      <c r="B65" s="368">
        <v>0</v>
      </c>
    </row>
    <row r="66" spans="1:2" ht="36.75" customHeight="1" x14ac:dyDescent="0.25">
      <c r="A66" s="333" t="s">
        <v>980</v>
      </c>
      <c r="B66" s="359">
        <f>SUM(B63:B65)</f>
        <v>19000000</v>
      </c>
    </row>
    <row r="67" spans="1:2" ht="36.75" customHeight="1" x14ac:dyDescent="0.25">
      <c r="A67" s="377"/>
      <c r="B67" s="378"/>
    </row>
    <row r="68" spans="1:2" ht="36.75" customHeight="1" x14ac:dyDescent="0.25">
      <c r="A68" s="379" t="s">
        <v>1024</v>
      </c>
      <c r="B68" s="378"/>
    </row>
    <row r="70" spans="1:2" ht="36.75" customHeight="1" x14ac:dyDescent="0.25">
      <c r="A70" s="330" t="s">
        <v>983</v>
      </c>
    </row>
    <row r="72" spans="1:2" ht="36.75" customHeight="1" x14ac:dyDescent="0.25">
      <c r="A72" s="333" t="s">
        <v>984</v>
      </c>
      <c r="B72" s="363">
        <v>50000000</v>
      </c>
    </row>
    <row r="74" spans="1:2" ht="36.75" customHeight="1" x14ac:dyDescent="0.25">
      <c r="A74" s="330" t="s">
        <v>985</v>
      </c>
    </row>
    <row r="75" spans="1:2" ht="36.75" customHeight="1" x14ac:dyDescent="0.25">
      <c r="A75" s="330"/>
    </row>
    <row r="76" spans="1:2" ht="36.75" customHeight="1" x14ac:dyDescent="0.25">
      <c r="A76" s="332" t="s">
        <v>1002</v>
      </c>
    </row>
    <row r="78" spans="1:2" ht="36.75" customHeight="1" x14ac:dyDescent="0.25">
      <c r="A78" s="330" t="s">
        <v>1001</v>
      </c>
    </row>
    <row r="79" spans="1:2" ht="36.75" customHeight="1" x14ac:dyDescent="0.25">
      <c r="A79" s="330"/>
    </row>
    <row r="80" spans="1:2" ht="36.75" customHeight="1" x14ac:dyDescent="0.25">
      <c r="A80" s="361" t="s">
        <v>1004</v>
      </c>
      <c r="B80" s="362">
        <f>400000*9</f>
        <v>3600000</v>
      </c>
    </row>
    <row r="82" spans="1:6" ht="36.75" customHeight="1" x14ac:dyDescent="0.25">
      <c r="A82" s="330" t="s">
        <v>986</v>
      </c>
    </row>
    <row r="84" spans="1:6" ht="36.75" customHeight="1" x14ac:dyDescent="0.25">
      <c r="A84" s="360" t="s">
        <v>1003</v>
      </c>
      <c r="B84" s="368">
        <v>12000000</v>
      </c>
    </row>
    <row r="86" spans="1:6" ht="36.75" customHeight="1" x14ac:dyDescent="0.25">
      <c r="A86" s="330" t="s">
        <v>1005</v>
      </c>
    </row>
    <row r="89" spans="1:6" ht="36.75" customHeight="1" x14ac:dyDescent="0.25">
      <c r="A89" s="335" t="s">
        <v>1017</v>
      </c>
      <c r="B89" s="335" t="s">
        <v>1011</v>
      </c>
      <c r="C89" s="335" t="s">
        <v>1016</v>
      </c>
      <c r="D89" s="335" t="s">
        <v>1015</v>
      </c>
      <c r="E89" s="442" t="s">
        <v>1014</v>
      </c>
    </row>
    <row r="90" spans="1:6" ht="36.75" customHeight="1" x14ac:dyDescent="0.25">
      <c r="A90" s="289" t="s">
        <v>1013</v>
      </c>
      <c r="B90" s="289">
        <v>5</v>
      </c>
      <c r="C90" s="289">
        <v>30</v>
      </c>
      <c r="D90" s="289">
        <v>142</v>
      </c>
      <c r="E90" s="289">
        <f>+C90+D90</f>
        <v>172</v>
      </c>
    </row>
    <row r="91" spans="1:6" ht="36.75" customHeight="1" x14ac:dyDescent="0.25">
      <c r="A91" s="289" t="s">
        <v>1012</v>
      </c>
      <c r="B91" s="289">
        <v>5</v>
      </c>
      <c r="C91" s="289">
        <v>66</v>
      </c>
      <c r="D91" s="289">
        <v>146</v>
      </c>
      <c r="E91" s="289">
        <f>+C91+D91</f>
        <v>212</v>
      </c>
      <c r="F91" s="331">
        <f>+E91/2</f>
        <v>106</v>
      </c>
    </row>
    <row r="92" spans="1:6" ht="36.75" customHeight="1" x14ac:dyDescent="0.25">
      <c r="A92" s="335" t="s">
        <v>373</v>
      </c>
      <c r="B92" s="335">
        <f>SUM(B90:B91)</f>
        <v>10</v>
      </c>
      <c r="C92" s="335">
        <f>SUM(C90:C91)</f>
        <v>96</v>
      </c>
      <c r="D92" s="335">
        <f>SUM(D90:D91)</f>
        <v>288</v>
      </c>
      <c r="E92" s="335">
        <f>SUM(E90:E91)</f>
        <v>384</v>
      </c>
    </row>
    <row r="94" spans="1:6" ht="36.75" customHeight="1" x14ac:dyDescent="0.25">
      <c r="A94" s="289"/>
      <c r="B94" s="335" t="s">
        <v>1011</v>
      </c>
      <c r="C94" s="335" t="s">
        <v>1010</v>
      </c>
      <c r="D94" s="335" t="s">
        <v>1009</v>
      </c>
      <c r="E94" s="335" t="s">
        <v>1008</v>
      </c>
    </row>
    <row r="95" spans="1:6" ht="36.75" customHeight="1" x14ac:dyDescent="0.25">
      <c r="A95" s="289" t="s">
        <v>1007</v>
      </c>
      <c r="B95" s="289">
        <v>2</v>
      </c>
      <c r="C95" s="436">
        <v>0.2</v>
      </c>
      <c r="D95" s="290">
        <f>+C92*C95</f>
        <v>19.200000000000003</v>
      </c>
      <c r="E95" s="290">
        <f>+D92*C95</f>
        <v>57.6</v>
      </c>
    </row>
    <row r="96" spans="1:6" ht="36.75" customHeight="1" x14ac:dyDescent="0.25">
      <c r="A96" s="289" t="s">
        <v>1006</v>
      </c>
      <c r="B96" s="289">
        <v>8</v>
      </c>
      <c r="C96" s="436">
        <v>0.8</v>
      </c>
      <c r="D96" s="290">
        <f>+C92*C96</f>
        <v>76.800000000000011</v>
      </c>
      <c r="E96" s="290">
        <f>+D92*C96</f>
        <v>230.4</v>
      </c>
    </row>
  </sheetData>
  <mergeCells count="2">
    <mergeCell ref="A3:C3"/>
    <mergeCell ref="E3:G3"/>
  </mergeCells>
  <pageMargins left="0.7" right="0.7" top="0.75" bottom="0.75" header="0.3" footer="0.3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BECEE-175D-46D4-822C-089E3A53724C}">
  <dimension ref="A1:E10"/>
  <sheetViews>
    <sheetView workbookViewId="0">
      <selection sqref="A1:E4"/>
    </sheetView>
  </sheetViews>
  <sheetFormatPr baseColWidth="10" defaultRowHeight="15" x14ac:dyDescent="0.25"/>
  <cols>
    <col min="1" max="1" width="19.85546875" bestFit="1" customWidth="1"/>
  </cols>
  <sheetData>
    <row r="1" spans="1:5" x14ac:dyDescent="0.25">
      <c r="A1" s="458" t="s">
        <v>1089</v>
      </c>
      <c r="B1" s="184">
        <v>2019</v>
      </c>
      <c r="C1" s="184">
        <v>2020</v>
      </c>
      <c r="D1" s="184">
        <v>2021</v>
      </c>
      <c r="E1" s="184">
        <v>2022</v>
      </c>
    </row>
    <row r="2" spans="1:5" x14ac:dyDescent="0.25">
      <c r="A2" s="175" t="s">
        <v>371</v>
      </c>
      <c r="B2" s="177">
        <v>62</v>
      </c>
      <c r="C2" s="177">
        <v>49</v>
      </c>
      <c r="D2" s="177">
        <v>55</v>
      </c>
      <c r="E2" s="177">
        <v>64</v>
      </c>
    </row>
    <row r="3" spans="1:5" x14ac:dyDescent="0.25">
      <c r="A3" s="174" t="s">
        <v>372</v>
      </c>
      <c r="B3" s="179">
        <v>162</v>
      </c>
      <c r="C3" s="179">
        <v>160</v>
      </c>
      <c r="D3" s="179">
        <v>140</v>
      </c>
      <c r="E3" s="179">
        <v>142</v>
      </c>
    </row>
    <row r="4" spans="1:5" x14ac:dyDescent="0.25">
      <c r="A4" s="190" t="s">
        <v>373</v>
      </c>
      <c r="B4" s="192">
        <v>224</v>
      </c>
      <c r="C4" s="192">
        <v>209</v>
      </c>
      <c r="D4" s="192">
        <v>195</v>
      </c>
      <c r="E4" s="192">
        <v>206</v>
      </c>
    </row>
    <row r="7" spans="1:5" x14ac:dyDescent="0.25">
      <c r="A7" t="s">
        <v>354</v>
      </c>
      <c r="B7">
        <v>2019</v>
      </c>
      <c r="C7">
        <v>2020</v>
      </c>
      <c r="D7">
        <v>2021</v>
      </c>
      <c r="E7">
        <v>2022</v>
      </c>
    </row>
    <row r="8" spans="1:5" x14ac:dyDescent="0.25">
      <c r="A8" t="s">
        <v>371</v>
      </c>
      <c r="B8">
        <v>62</v>
      </c>
      <c r="C8">
        <v>49</v>
      </c>
      <c r="D8">
        <v>55</v>
      </c>
      <c r="E8">
        <v>64</v>
      </c>
    </row>
    <row r="9" spans="1:5" x14ac:dyDescent="0.25">
      <c r="A9" t="s">
        <v>372</v>
      </c>
      <c r="B9">
        <v>162</v>
      </c>
      <c r="C9">
        <v>160</v>
      </c>
      <c r="D9">
        <v>140</v>
      </c>
      <c r="E9">
        <v>142</v>
      </c>
    </row>
    <row r="10" spans="1:5" x14ac:dyDescent="0.25">
      <c r="A10" t="s">
        <v>373</v>
      </c>
      <c r="B10">
        <v>224</v>
      </c>
      <c r="C10">
        <v>209</v>
      </c>
      <c r="D10">
        <v>195</v>
      </c>
      <c r="E10">
        <v>206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C354C-B042-496B-8B64-BBDFBD1E9036}">
  <sheetPr codeName="Hoja5">
    <outlinePr summaryBelow="0"/>
  </sheetPr>
  <dimension ref="A1:N90"/>
  <sheetViews>
    <sheetView showGridLines="0" zoomScaleNormal="100" workbookViewId="0">
      <pane xSplit="2" ySplit="11" topLeftCell="C18" activePane="bottomRight" state="frozen"/>
      <selection pane="topRight"/>
      <selection pane="bottomLeft"/>
      <selection pane="bottomRight" activeCell="C12" sqref="C12"/>
    </sheetView>
  </sheetViews>
  <sheetFormatPr baseColWidth="10" defaultRowHeight="15" outlineLevelRow="1" x14ac:dyDescent="0.25"/>
  <cols>
    <col min="2" max="2" width="32.28515625" bestFit="1" customWidth="1"/>
  </cols>
  <sheetData>
    <row r="1" spans="2:14" hidden="1" outlineLevel="1" collapsed="1" x14ac:dyDescent="0.25">
      <c r="B1" t="str" vm="6">
        <f>base!B1</f>
        <v>281</v>
      </c>
    </row>
    <row r="2" spans="2:14" hidden="1" outlineLevel="1" x14ac:dyDescent="0.25"/>
    <row r="3" spans="2:14" hidden="1" outlineLevel="1" x14ac:dyDescent="0.25"/>
    <row r="4" spans="2:14" hidden="1" outlineLevel="1" x14ac:dyDescent="0.25"/>
    <row r="5" spans="2:14" hidden="1" outlineLevel="1" x14ac:dyDescent="0.25">
      <c r="C5" s="5" t="e">
        <f>VLOOKUP($B$1&amp;"-"&amp;C$11,tipo_departamento[#All],3,0)</f>
        <v>#N/A</v>
      </c>
      <c r="D5" s="5" t="str">
        <f>VLOOKUP($B$1&amp;"-"&amp;D$11,tipo_departamento[#All],3,0)</f>
        <v>48</v>
      </c>
      <c r="E5" s="5"/>
      <c r="F5" s="5" t="str">
        <f>VLOOKUP($B$1&amp;"-"&amp;F$11,tipo_departamento[#All],3,0)</f>
        <v>922</v>
      </c>
      <c r="G5" s="5" t="e">
        <f>VLOOKUP($B$1&amp;"-"&amp;G$11,tipo_departamento[#All],3,0)</f>
        <v>#N/A</v>
      </c>
      <c r="H5" s="5" t="str">
        <f>VLOOKUP($B$1&amp;"-"&amp;H$11,tipo_departamento[#All],3,0)</f>
        <v>660</v>
      </c>
      <c r="I5" s="5" t="str">
        <f>VLOOKUP($B$1&amp;"-"&amp;I$11,tipo_departamento[#All],3,0)</f>
        <v>534</v>
      </c>
      <c r="J5" s="5" t="str">
        <f>VLOOKUP($B$1&amp;"-"&amp;J$11,tipo_departamento[#All],3,0)</f>
        <v>27</v>
      </c>
      <c r="K5" s="5" t="str">
        <f>VLOOKUP($B$1&amp;"-"&amp;K$11,tipo_departamento[#All],3,0)</f>
        <v>582</v>
      </c>
      <c r="L5" s="5"/>
      <c r="N5" s="5"/>
    </row>
    <row r="6" spans="2:14" hidden="1" outlineLevel="1" x14ac:dyDescent="0.25"/>
    <row r="7" spans="2:14" x14ac:dyDescent="0.25">
      <c r="B7" t="s">
        <v>201</v>
      </c>
      <c r="C7" s="17">
        <f>modelo!J4</f>
        <v>2018</v>
      </c>
      <c r="D7" s="17">
        <f t="shared" ref="D7:L7" si="0">C7</f>
        <v>2018</v>
      </c>
      <c r="E7" s="17">
        <f t="shared" si="0"/>
        <v>2018</v>
      </c>
      <c r="F7" s="17">
        <f t="shared" si="0"/>
        <v>2018</v>
      </c>
      <c r="G7" s="17">
        <f t="shared" si="0"/>
        <v>2018</v>
      </c>
      <c r="H7" s="17">
        <f t="shared" si="0"/>
        <v>2018</v>
      </c>
      <c r="I7" s="17">
        <f t="shared" si="0"/>
        <v>2018</v>
      </c>
      <c r="J7" s="17">
        <f t="shared" si="0"/>
        <v>2018</v>
      </c>
      <c r="K7" s="17">
        <f t="shared" si="0"/>
        <v>2018</v>
      </c>
      <c r="L7" s="17">
        <f t="shared" si="0"/>
        <v>2018</v>
      </c>
      <c r="M7" s="5"/>
      <c r="N7" s="5"/>
    </row>
    <row r="8" spans="2:14" x14ac:dyDescent="0.25">
      <c r="B8" t="s">
        <v>202</v>
      </c>
      <c r="C8" s="5">
        <v>12</v>
      </c>
      <c r="D8" s="5">
        <f t="shared" ref="D8:L8" si="1">C8</f>
        <v>12</v>
      </c>
      <c r="E8" s="5">
        <f t="shared" si="1"/>
        <v>12</v>
      </c>
      <c r="F8" s="5">
        <f t="shared" si="1"/>
        <v>12</v>
      </c>
      <c r="G8" s="5">
        <f t="shared" si="1"/>
        <v>12</v>
      </c>
      <c r="H8" s="5">
        <f t="shared" si="1"/>
        <v>12</v>
      </c>
      <c r="I8" s="5">
        <f t="shared" si="1"/>
        <v>12</v>
      </c>
      <c r="J8" s="5">
        <f t="shared" si="1"/>
        <v>12</v>
      </c>
      <c r="K8" s="5">
        <f t="shared" si="1"/>
        <v>12</v>
      </c>
      <c r="L8" s="5">
        <f t="shared" si="1"/>
        <v>12</v>
      </c>
      <c r="N8" s="5" t="s">
        <v>212</v>
      </c>
    </row>
    <row r="9" spans="2:14" x14ac:dyDescent="0.25">
      <c r="C9" s="17" t="s">
        <v>127</v>
      </c>
      <c r="D9" s="17" t="str">
        <f t="shared" ref="D9:L9" si="2">C9</f>
        <v>EJECUCION</v>
      </c>
      <c r="E9" s="17" t="str">
        <f t="shared" si="2"/>
        <v>EJECUCION</v>
      </c>
      <c r="F9" s="17" t="str">
        <f t="shared" si="2"/>
        <v>EJECUCION</v>
      </c>
      <c r="G9" s="17" t="str">
        <f t="shared" si="2"/>
        <v>EJECUCION</v>
      </c>
      <c r="H9" s="17" t="str">
        <f t="shared" si="2"/>
        <v>EJECUCION</v>
      </c>
      <c r="I9" s="17" t="str">
        <f t="shared" si="2"/>
        <v>EJECUCION</v>
      </c>
      <c r="J9" s="17" t="str">
        <f t="shared" si="2"/>
        <v>EJECUCION</v>
      </c>
      <c r="K9" s="17" t="str">
        <f t="shared" si="2"/>
        <v>EJECUCION</v>
      </c>
      <c r="L9" s="17" t="str">
        <f t="shared" si="2"/>
        <v>EJECUCION</v>
      </c>
      <c r="N9" s="5" t="s">
        <v>251</v>
      </c>
    </row>
    <row r="11" spans="2:14" ht="38.25" x14ac:dyDescent="0.25">
      <c r="C11" s="4" t="s">
        <v>119</v>
      </c>
      <c r="D11" s="4" t="s">
        <v>118</v>
      </c>
      <c r="E11" s="4" t="s">
        <v>308</v>
      </c>
      <c r="F11" s="4" t="s">
        <v>105</v>
      </c>
      <c r="G11" s="4" t="s">
        <v>214</v>
      </c>
      <c r="H11" s="4" t="s">
        <v>165</v>
      </c>
      <c r="I11" s="4" t="s">
        <v>215</v>
      </c>
      <c r="J11" s="4" t="s">
        <v>216</v>
      </c>
      <c r="K11" s="4" t="s">
        <v>217</v>
      </c>
      <c r="L11" s="4" t="s">
        <v>218</v>
      </c>
      <c r="N11" s="4" t="s">
        <v>218</v>
      </c>
    </row>
    <row r="13" spans="2:14" x14ac:dyDescent="0.25">
      <c r="B13" t="s">
        <v>119</v>
      </c>
      <c r="C13" s="9">
        <f>IFERROR(GETPIVOTDATA("[Measures].[Suma de valor]",base!$A$3,"[IF].[departamento_jerarquia2]","[IF].[departamento_jerarquia2].&amp;["&amp;C$5&amp;"]","[IF].[grupo_analisis]","[IF].[grupo_analisis].&amp;["&amp;$B13&amp;"]","[IF].[mes]","[IF].[mes].&amp;["&amp;C$8&amp;"]","[IF].[ano]","[IF].[ano].&amp;["&amp;C$7&amp;"]","[IF].[informacion]","[IF].[informacion].&amp;["&amp;C$9&amp;"]"),0)</f>
        <v>0</v>
      </c>
      <c r="D13" s="9">
        <f>IFERROR(GETPIVOTDATA("[Measures].[Suma de valor]",base!$A$3,"[IF].[departamento_jerarquia2]","[IF].[departamento_jerarquia2].&amp;["&amp;D$5&amp;"]","[IF].[grupo_analisis]","[IF].[grupo_analisis].&amp;["&amp;$B13&amp;"]","[IF].[mes]","[IF].[mes].&amp;["&amp;D$8&amp;"]","[IF].[ano]","[IF].[ano].&amp;["&amp;D$7&amp;"]","[IF].[informacion]","[IF].[informacion].&amp;["&amp;D$9&amp;"]"),0)-E13</f>
        <v>0</v>
      </c>
      <c r="E13" s="9">
        <f>IFERROR(GETPIVOTDATA("[Measures].[Suma de valor]",base!$AN$5,"[IF].[grupo_analisis]","[IF].[grupo_analisis].&amp;["&amp;$B13&amp;"]","[IF].[mes]","[IF].[mes].&amp;["&amp;E$8&amp;"]","[IF].[ano]","[IF].[ano].&amp;["&amp;E$7&amp;"]","[IF].[informacion]","[IF].[informacion].&amp;["&amp;E$9&amp;"]"),0)</f>
        <v>0</v>
      </c>
      <c r="F13" s="9">
        <f>IFERROR(GETPIVOTDATA("[Measures].[Suma de valor]",base!$A$3,"[IF].[departamento_jerarquia2]","[IF].[departamento_jerarquia2].&amp;["&amp;F$5&amp;"]","[IF].[grupo_analisis]","[IF].[grupo_analisis].&amp;["&amp;$B13&amp;"]","[IF].[mes]","[IF].[mes].&amp;["&amp;F$8&amp;"]","[IF].[ano]","[IF].[ano].&amp;["&amp;F$7&amp;"]","[IF].[informacion]","[IF].[informacion].&amp;["&amp;F$9&amp;"]"),0)</f>
        <v>0</v>
      </c>
      <c r="G13" s="9">
        <f>IFERROR(GETPIVOTDATA("[Measures].[Suma de valor]",base!$A$3,"[IF].[departamento_jerarquia2]","[IF].[departamento_jerarquia2].&amp;["&amp;G$5&amp;"]","[IF].[grupo_analisis]","[IF].[grupo_analisis].&amp;["&amp;$B13&amp;"]","[IF].[mes]","[IF].[mes].&amp;["&amp;G$8&amp;"]","[IF].[ano]","[IF].[ano].&amp;["&amp;G$7&amp;"]","[IF].[informacion]","[IF].[informacion].&amp;["&amp;G$9&amp;"]"),0)</f>
        <v>0</v>
      </c>
      <c r="H13" s="9">
        <f>IFERROR(GETPIVOTDATA("[Measures].[Suma de valor]",base!$A$3,"[IF].[departamento_jerarquia2]","[IF].[departamento_jerarquia2].&amp;["&amp;H$5&amp;"]","[IF].[grupo_analisis]","[IF].[grupo_analisis].&amp;["&amp;$B13&amp;"]","[IF].[mes]","[IF].[mes].&amp;["&amp;H$8&amp;"]","[IF].[ano]","[IF].[ano].&amp;["&amp;H$7&amp;"]","[IF].[informacion]","[IF].[informacion].&amp;["&amp;H$9&amp;"]"),0)</f>
        <v>0</v>
      </c>
      <c r="I13" s="9">
        <f>IFERROR(GETPIVOTDATA("[Measures].[Suma de valor]",base!$A$3,"[IF].[departamento_jerarquia2]","[IF].[departamento_jerarquia2].&amp;["&amp;I$5&amp;"]","[IF].[grupo_analisis]","[IF].[grupo_analisis].&amp;["&amp;$B13&amp;"]","[IF].[mes]","[IF].[mes].&amp;["&amp;I$8&amp;"]","[IF].[ano]","[IF].[ano].&amp;["&amp;I$7&amp;"]","[IF].[informacion]","[IF].[informacion].&amp;["&amp;I$9&amp;"]"),0)</f>
        <v>0</v>
      </c>
      <c r="J13" s="9"/>
      <c r="K13" s="9"/>
      <c r="L13" s="12">
        <f t="shared" ref="L13:L38" si="3">SUM(C13:K13)</f>
        <v>0</v>
      </c>
      <c r="N13" s="12">
        <f t="shared" ref="N13:N20" si="4">L13</f>
        <v>0</v>
      </c>
    </row>
    <row r="14" spans="2:14" x14ac:dyDescent="0.25">
      <c r="B14" t="s">
        <v>118</v>
      </c>
      <c r="C14" s="9">
        <f>IFERROR(GETPIVOTDATA("[Measures].[Suma de valor]",base!$A$3,"[IF].[departamento_jerarquia2]","[IF].[departamento_jerarquia2].&amp;["&amp;C$5&amp;"]","[IF].[grupo_analisis]","[IF].[grupo_analisis].&amp;["&amp;$B14&amp;"]","[IF].[mes]","[IF].[mes].&amp;["&amp;C$8&amp;"]","[IF].[ano]","[IF].[ano].&amp;["&amp;C$7&amp;"]","[IF].[informacion]","[IF].[informacion].&amp;["&amp;C$9&amp;"]"),0)</f>
        <v>0</v>
      </c>
      <c r="D14" s="9">
        <f>IFERROR(GETPIVOTDATA("[Measures].[Suma de valor]",base!$A$3,"[IF].[departamento_jerarquia2]","[IF].[departamento_jerarquia2].&amp;["&amp;D$5&amp;"]","[IF].[grupo_analisis]","[IF].[grupo_analisis].&amp;["&amp;$B14&amp;"]","[IF].[mes]","[IF].[mes].&amp;["&amp;D$8&amp;"]","[IF].[ano]","[IF].[ano].&amp;["&amp;D$7&amp;"]","[IF].[informacion]","[IF].[informacion].&amp;["&amp;D$9&amp;"]"),0)-E14</f>
        <v>228.05132400000002</v>
      </c>
      <c r="E14" s="9">
        <f>IFERROR(GETPIVOTDATA("[Measures].[Suma de valor]",base!$AN$5,"[IF].[grupo_analisis]","[IF].[grupo_analisis].&amp;["&amp;$B14&amp;"]","[IF].[mes]","[IF].[mes].&amp;["&amp;E$8&amp;"]","[IF].[ano]","[IF].[ano].&amp;["&amp;E$7&amp;"]","[IF].[informacion]","[IF].[informacion].&amp;["&amp;E$9&amp;"]"),0)</f>
        <v>1182.952</v>
      </c>
      <c r="F14" s="9">
        <f>IFERROR(GETPIVOTDATA("[Measures].[Suma de valor]",base!$A$3,"[IF].[departamento_jerarquia2]","[IF].[departamento_jerarquia2].&amp;["&amp;F$5&amp;"]","[IF].[grupo_analisis]","[IF].[grupo_analisis].&amp;["&amp;$B14&amp;"]","[IF].[mes]","[IF].[mes].&amp;["&amp;F$8&amp;"]","[IF].[ano]","[IF].[ano].&amp;["&amp;F$7&amp;"]","[IF].[informacion]","[IF].[informacion].&amp;["&amp;F$9&amp;"]"),0)</f>
        <v>0</v>
      </c>
      <c r="G14" s="9">
        <f>IFERROR(GETPIVOTDATA("[Measures].[Suma de valor]",base!$A$3,"[IF].[departamento_jerarquia2]","[IF].[departamento_jerarquia2].&amp;["&amp;G$5&amp;"]","[IF].[grupo_analisis]","[IF].[grupo_analisis].&amp;["&amp;$B14&amp;"]","[IF].[mes]","[IF].[mes].&amp;["&amp;G$8&amp;"]","[IF].[ano]","[IF].[ano].&amp;["&amp;G$7&amp;"]","[IF].[informacion]","[IF].[informacion].&amp;["&amp;G$9&amp;"]"),0)</f>
        <v>0</v>
      </c>
      <c r="H14" s="9">
        <f>IFERROR(GETPIVOTDATA("[Measures].[Suma de valor]",base!$A$3,"[IF].[departamento_jerarquia2]","[IF].[departamento_jerarquia2].&amp;["&amp;H$5&amp;"]","[IF].[grupo_analisis]","[IF].[grupo_analisis].&amp;["&amp;$B14&amp;"]","[IF].[mes]","[IF].[mes].&amp;["&amp;H$8&amp;"]","[IF].[ano]","[IF].[ano].&amp;["&amp;H$7&amp;"]","[IF].[informacion]","[IF].[informacion].&amp;["&amp;H$9&amp;"]"),0)</f>
        <v>0</v>
      </c>
      <c r="I14" s="9">
        <f>IFERROR(GETPIVOTDATA("[Measures].[Suma de valor]",base!$A$3,"[IF].[departamento_jerarquia2]","[IF].[departamento_jerarquia2].&amp;["&amp;I$5&amp;"]","[IF].[grupo_analisis]","[IF].[grupo_analisis].&amp;["&amp;$B14&amp;"]","[IF].[mes]","[IF].[mes].&amp;["&amp;I$8&amp;"]","[IF].[ano]","[IF].[ano].&amp;["&amp;I$7&amp;"]","[IF].[informacion]","[IF].[informacion].&amp;["&amp;I$9&amp;"]"),0)</f>
        <v>0</v>
      </c>
      <c r="J14" s="9"/>
      <c r="K14" s="9"/>
      <c r="L14" s="12">
        <f t="shared" si="3"/>
        <v>1411.003324</v>
      </c>
      <c r="N14" s="12">
        <f t="shared" si="4"/>
        <v>1411.003324</v>
      </c>
    </row>
    <row r="15" spans="2:14" x14ac:dyDescent="0.25">
      <c r="B15" t="s">
        <v>116</v>
      </c>
      <c r="C15" s="9">
        <f>IFERROR(GETPIVOTDATA("[Measures].[Suma de valor]",base!$A$3,"[IF].[departamento_jerarquia2]","[IF].[departamento_jerarquia2].&amp;["&amp;C$5&amp;"]","[IF].[grupo_analisis]","[IF].[grupo_analisis].&amp;["&amp;$B15&amp;"]","[IF].[mes]","[IF].[mes].&amp;["&amp;C$8&amp;"]","[IF].[ano]","[IF].[ano].&amp;["&amp;C$7&amp;"]","[IF].[informacion]","[IF].[informacion].&amp;["&amp;C$9&amp;"]"),0)-C18</f>
        <v>-45.84</v>
      </c>
      <c r="D15" s="9">
        <f>IFERROR(GETPIVOTDATA("[Measures].[Suma de valor]",base!$A$3,"[IF].[departamento_jerarquia2]","[IF].[departamento_jerarquia2].&amp;["&amp;D$5&amp;"]","[IF].[grupo_analisis]","[IF].[grupo_analisis].&amp;["&amp;$B15&amp;"]","[IF].[mes]","[IF].[mes].&amp;["&amp;D$8&amp;"]","[IF].[ano]","[IF].[ano].&amp;["&amp;D$7&amp;"]","[IF].[informacion]","[IF].[informacion].&amp;["&amp;D$9&amp;"]"),0)-E15-D18</f>
        <v>12.842800000000004</v>
      </c>
      <c r="E15" s="9">
        <f>IFERROR(GETPIVOTDATA("[Measures].[Suma de valor]",base!$AN$5,"[IF].[grupo_analisis]","[IF].[grupo_analisis].&amp;["&amp;$B15&amp;"]","[IF].[mes]","[IF].[mes].&amp;["&amp;E$8&amp;"]","[IF].[ano]","[IF].[ano].&amp;["&amp;E$7&amp;"]","[IF].[informacion]","[IF].[informacion].&amp;["&amp;E$9&amp;"]"),0)</f>
        <v>28.165391</v>
      </c>
      <c r="F15" s="9">
        <f>IFERROR(GETPIVOTDATA("[Measures].[Suma de valor]",base!$A$3,"[IF].[departamento_jerarquia2]","[IF].[departamento_jerarquia2].&amp;["&amp;F$5&amp;"]","[IF].[grupo_analisis]","[IF].[grupo_analisis].&amp;["&amp;$B15&amp;"]","[IF].[mes]","[IF].[mes].&amp;["&amp;F$8&amp;"]","[IF].[ano]","[IF].[ano].&amp;["&amp;F$7&amp;"]","[IF].[informacion]","[IF].[informacion].&amp;["&amp;F$9&amp;"]"),0)-F18</f>
        <v>0</v>
      </c>
      <c r="G15" s="9">
        <f>IFERROR(GETPIVOTDATA("[Measures].[Suma de valor]",base!$A$3,"[IF].[departamento_jerarquia2]","[IF].[departamento_jerarquia2].&amp;["&amp;G$5&amp;"]","[IF].[grupo_analisis]","[IF].[grupo_analisis].&amp;["&amp;$B15&amp;"]","[IF].[mes]","[IF].[mes].&amp;["&amp;G$8&amp;"]","[IF].[ano]","[IF].[ano].&amp;["&amp;G$7&amp;"]","[IF].[informacion]","[IF].[informacion].&amp;["&amp;G$9&amp;"]"),0)-G18</f>
        <v>0</v>
      </c>
      <c r="H15" s="9">
        <f>IFERROR(GETPIVOTDATA("[Measures].[Suma de valor]",base!$A$3,"[IF].[departamento_jerarquia2]","[IF].[departamento_jerarquia2].&amp;["&amp;H$5&amp;"]","[IF].[grupo_analisis]","[IF].[grupo_analisis].&amp;["&amp;$B15&amp;"]","[IF].[mes]","[IF].[mes].&amp;["&amp;H$8&amp;"]","[IF].[ano]","[IF].[ano].&amp;["&amp;H$7&amp;"]","[IF].[informacion]","[IF].[informacion].&amp;["&amp;H$9&amp;"]"),0)-H18</f>
        <v>0</v>
      </c>
      <c r="I15" s="9">
        <f>IFERROR(GETPIVOTDATA("[Measures].[Suma de valor]",base!$A$3,"[IF].[departamento_jerarquia2]","[IF].[departamento_jerarquia2].&amp;["&amp;I$5&amp;"]","[IF].[grupo_analisis]","[IF].[grupo_analisis].&amp;["&amp;$B15&amp;"]","[IF].[mes]","[IF].[mes].&amp;["&amp;I$8&amp;"]","[IF].[ano]","[IF].[ano].&amp;["&amp;I$7&amp;"]","[IF].[informacion]","[IF].[informacion].&amp;["&amp;I$9&amp;"]"),0)-I18</f>
        <v>2.25</v>
      </c>
      <c r="J15" s="9"/>
      <c r="K15" s="9"/>
      <c r="L15" s="12">
        <f t="shared" si="3"/>
        <v>-2.5818089999999998</v>
      </c>
      <c r="N15" s="12">
        <f t="shared" si="4"/>
        <v>-2.5818089999999998</v>
      </c>
    </row>
    <row r="16" spans="2:14" x14ac:dyDescent="0.25">
      <c r="B16" t="s">
        <v>117</v>
      </c>
      <c r="C16" s="9">
        <f>IFERROR(GETPIVOTDATA("[Measures].[Suma de valor]",base!$A$3,"[IF].[departamento_jerarquia2]","[IF].[departamento_jerarquia2].&amp;["&amp;C$5&amp;"]","[IF].[grupo_analisis]","[IF].[grupo_analisis].&amp;["&amp;$B16&amp;"]","[IF].[mes]","[IF].[mes].&amp;["&amp;C$8&amp;"]","[IF].[ano]","[IF].[ano].&amp;["&amp;C$7&amp;"]","[IF].[informacion]","[IF].[informacion].&amp;["&amp;C$9&amp;"]"),0)</f>
        <v>0</v>
      </c>
      <c r="D16" s="9">
        <f>IFERROR(GETPIVOTDATA("[Measures].[Suma de valor]",base!$A$3,"[IF].[departamento_jerarquia2]","[IF].[departamento_jerarquia2].&amp;["&amp;D$5&amp;"]","[IF].[grupo_analisis]","[IF].[grupo_analisis].&amp;["&amp;$B16&amp;"]","[IF].[mes]","[IF].[mes].&amp;["&amp;D$8&amp;"]","[IF].[ano]","[IF].[ano].&amp;["&amp;D$7&amp;"]","[IF].[informacion]","[IF].[informacion].&amp;["&amp;D$9&amp;"]"),0)-E16</f>
        <v>0</v>
      </c>
      <c r="E16" s="9">
        <f>IFERROR(GETPIVOTDATA("[Measures].[Suma de valor]",base!$AN$5,"[IF].[grupo_analisis]","[IF].[grupo_analisis].&amp;["&amp;$B16&amp;"]","[IF].[mes]","[IF].[mes].&amp;["&amp;E$8&amp;"]","[IF].[ano]","[IF].[ano].&amp;["&amp;E$7&amp;"]","[IF].[informacion]","[IF].[informacion].&amp;["&amp;E$9&amp;"]"),0)</f>
        <v>0</v>
      </c>
      <c r="F16" s="9">
        <f>IFERROR(GETPIVOTDATA("[Measures].[Suma de valor]",base!$A$3,"[IF].[departamento_jerarquia2]","[IF].[departamento_jerarquia2].&amp;["&amp;F$5&amp;"]","[IF].[grupo_analisis]","[IF].[grupo_analisis].&amp;["&amp;$B16&amp;"]","[IF].[mes]","[IF].[mes].&amp;["&amp;F$8&amp;"]","[IF].[ano]","[IF].[ano].&amp;["&amp;F$7&amp;"]","[IF].[informacion]","[IF].[informacion].&amp;["&amp;F$9&amp;"]"),0)</f>
        <v>0</v>
      </c>
      <c r="G16" s="9">
        <f>IFERROR(GETPIVOTDATA("[Measures].[Suma de valor]",base!$A$3,"[IF].[departamento_jerarquia2]","[IF].[departamento_jerarquia2].&amp;["&amp;G$5&amp;"]","[IF].[grupo_analisis]","[IF].[grupo_analisis].&amp;["&amp;$B16&amp;"]","[IF].[mes]","[IF].[mes].&amp;["&amp;G$8&amp;"]","[IF].[ano]","[IF].[ano].&amp;["&amp;G$7&amp;"]","[IF].[informacion]","[IF].[informacion].&amp;["&amp;G$9&amp;"]"),0)</f>
        <v>0</v>
      </c>
      <c r="H16" s="9">
        <f>IFERROR(GETPIVOTDATA("[Measures].[Suma de valor]",base!$A$3,"[IF].[departamento_jerarquia2]","[IF].[departamento_jerarquia2].&amp;["&amp;H$5&amp;"]","[IF].[grupo_analisis]","[IF].[grupo_analisis].&amp;["&amp;$B16&amp;"]","[IF].[mes]","[IF].[mes].&amp;["&amp;H$8&amp;"]","[IF].[ano]","[IF].[ano].&amp;["&amp;H$7&amp;"]","[IF].[informacion]","[IF].[informacion].&amp;["&amp;H$9&amp;"]"),0)</f>
        <v>0</v>
      </c>
      <c r="I16" s="9">
        <f>IFERROR(GETPIVOTDATA("[Measures].[Suma de valor]",base!$A$3,"[IF].[departamento_jerarquia2]","[IF].[departamento_jerarquia2].&amp;["&amp;I$5&amp;"]","[IF].[grupo_analisis]","[IF].[grupo_analisis].&amp;["&amp;$B16&amp;"]","[IF].[mes]","[IF].[mes].&amp;["&amp;I$8&amp;"]","[IF].[ano]","[IF].[ano].&amp;["&amp;I$7&amp;"]","[IF].[informacion]","[IF].[informacion].&amp;["&amp;I$9&amp;"]"),0)</f>
        <v>0</v>
      </c>
      <c r="J16" s="9"/>
      <c r="K16" s="9"/>
      <c r="L16" s="12">
        <f t="shared" si="3"/>
        <v>0</v>
      </c>
      <c r="N16" s="12">
        <f t="shared" si="4"/>
        <v>0</v>
      </c>
    </row>
    <row r="17" spans="1:14" x14ac:dyDescent="0.25">
      <c r="B17" t="s">
        <v>105</v>
      </c>
      <c r="C17" s="9">
        <f>IFERROR(GETPIVOTDATA("[Measures].[Suma de valor]",base!$A$3,"[IF].[departamento_jerarquia2]","[IF].[departamento_jerarquia2].&amp;["&amp;C$5&amp;"]","[IF].[grupo_analisis]","[IF].[grupo_analisis].&amp;["&amp;$B17&amp;"]","[IF].[mes]","[IF].[mes].&amp;["&amp;C$8&amp;"]","[IF].[ano]","[IF].[ano].&amp;["&amp;C$7&amp;"]","[IF].[informacion]","[IF].[informacion].&amp;["&amp;C$9&amp;"]"),0)</f>
        <v>0</v>
      </c>
      <c r="D17" s="9">
        <f>IFERROR(GETPIVOTDATA("[Measures].[Suma de valor]",base!$A$3,"[IF].[departamento_jerarquia2]","[IF].[departamento_jerarquia2].&amp;["&amp;D$5&amp;"]","[IF].[grupo_analisis]","[IF].[grupo_analisis].&amp;["&amp;$B17&amp;"]","[IF].[mes]","[IF].[mes].&amp;["&amp;D$8&amp;"]","[IF].[ano]","[IF].[ano].&amp;["&amp;D$7&amp;"]","[IF].[informacion]","[IF].[informacion].&amp;["&amp;D$9&amp;"]"),0)-E17</f>
        <v>0</v>
      </c>
      <c r="E17" s="9">
        <f>IFERROR(GETPIVOTDATA("[Measures].[Suma de valor]",base!$AN$5,"[IF].[grupo_analisis]","[IF].[grupo_analisis].&amp;["&amp;$B17&amp;"]","[IF].[mes]","[IF].[mes].&amp;["&amp;E$8&amp;"]","[IF].[ano]","[IF].[ano].&amp;["&amp;E$7&amp;"]","[IF].[informacion]","[IF].[informacion].&amp;["&amp;E$9&amp;"]"),0)</f>
        <v>0</v>
      </c>
      <c r="F17" s="9">
        <f>IFERROR(GETPIVOTDATA("[Measures].[Suma de valor]",base!$A$3,"[IF].[departamento_jerarquia2]","[IF].[departamento_jerarquia2].&amp;["&amp;F$5&amp;"]","[IF].[grupo_analisis]","[IF].[grupo_analisis].&amp;["&amp;$B17&amp;"]","[IF].[mes]","[IF].[mes].&amp;["&amp;F$8&amp;"]","[IF].[ano]","[IF].[ano].&amp;["&amp;F$7&amp;"]","[IF].[informacion]","[IF].[informacion].&amp;["&amp;F$9&amp;"]"),0)</f>
        <v>0</v>
      </c>
      <c r="G17" s="9">
        <f>IFERROR(GETPIVOTDATA("[Measures].[Suma de valor]",base!$A$3,"[IF].[departamento_jerarquia2]","[IF].[departamento_jerarquia2].&amp;["&amp;G$5&amp;"]","[IF].[grupo_analisis]","[IF].[grupo_analisis].&amp;["&amp;$B17&amp;"]","[IF].[mes]","[IF].[mes].&amp;["&amp;G$8&amp;"]","[IF].[ano]","[IF].[ano].&amp;["&amp;G$7&amp;"]","[IF].[informacion]","[IF].[informacion].&amp;["&amp;G$9&amp;"]"),0)</f>
        <v>0</v>
      </c>
      <c r="H17" s="9">
        <f>IFERROR(GETPIVOTDATA("[Measures].[Suma de valor]",base!$A$3,"[IF].[departamento_jerarquia2]","[IF].[departamento_jerarquia2].&amp;["&amp;H$5&amp;"]","[IF].[grupo_analisis]","[IF].[grupo_analisis].&amp;["&amp;$B17&amp;"]","[IF].[mes]","[IF].[mes].&amp;["&amp;H$8&amp;"]","[IF].[ano]","[IF].[ano].&amp;["&amp;H$7&amp;"]","[IF].[informacion]","[IF].[informacion].&amp;["&amp;H$9&amp;"]"),0)</f>
        <v>0</v>
      </c>
      <c r="I17" s="9">
        <f>IFERROR(GETPIVOTDATA("[Measures].[Suma de valor]",base!$A$3,"[IF].[departamento_jerarquia2]","[IF].[departamento_jerarquia2].&amp;["&amp;I$5&amp;"]","[IF].[grupo_analisis]","[IF].[grupo_analisis].&amp;["&amp;$B17&amp;"]","[IF].[mes]","[IF].[mes].&amp;["&amp;I$8&amp;"]","[IF].[ano]","[IF].[ano].&amp;["&amp;I$7&amp;"]","[IF].[informacion]","[IF].[informacion].&amp;["&amp;I$9&amp;"]"),0)</f>
        <v>240.602</v>
      </c>
      <c r="J17" s="9"/>
      <c r="K17" s="9"/>
      <c r="L17" s="12">
        <f t="shared" si="3"/>
        <v>240.602</v>
      </c>
      <c r="N17" s="12">
        <f t="shared" si="4"/>
        <v>240.602</v>
      </c>
    </row>
    <row r="18" spans="1:14" x14ac:dyDescent="0.25">
      <c r="B18" t="s">
        <v>165</v>
      </c>
      <c r="C18" s="9">
        <f>IFERROR(GETPIVOTDATA("[Measures].[Suma de valor]",base!$AD$4,"[IF].[mes]","[IF].[mes].&amp;["&amp;C$8&amp;"]","[IF].[ano]","[IF].[ano].&amp;["&amp;C$7&amp;"]","[IF].[informacion]","[IF].[informacion].&amp;["&amp;C$9&amp;"]","[IF].[nombre_cuenta]","[IF].[nombre_cuenta].&amp;[VACACIONALES]"),0)</f>
        <v>45.84</v>
      </c>
      <c r="D18" s="9">
        <f>IFERROR(GETPIVOTDATA("[Measures].[Suma de valor]",base!$U$3,"[IF].[departamento_jerarquia2]","[IF].[departamento_jerarquia2].&amp;["&amp;D$5&amp;"]","[IF].[mes]","[IF].[mes].&amp;["&amp;D$8&amp;"]","[IF].[ano]","[IF].[ano].&amp;["&amp;D$7&amp;"]","[IF].[informacion]","[IF].[informacion].&amp;["&amp;D$9&amp;"]","[IF].[nombre_cuenta]","[IF].[nombre_cuenta].&amp;["&amp;$B18&amp;"]"),0)-E18</f>
        <v>0</v>
      </c>
      <c r="E18" s="9">
        <f>IFERROR(GETPIVOTDATA("[Measures].[Suma de valor]",base!$AN$5,"[IF].[grupo_analisis]","[IF].[grupo_analisis].&amp;["&amp;$B18&amp;"]","[IF].[mes]","[IF].[mes].&amp;["&amp;E$8&amp;"]","[IF].[ano]","[IF].[ano].&amp;["&amp;E$7&amp;"]","[IF].[informacion]","[IF].[informacion].&amp;["&amp;E$9&amp;"]"),0)</f>
        <v>0</v>
      </c>
      <c r="F18" s="9">
        <f>IFERROR(GETPIVOTDATA("[Measures].[Suma de valor]",base!$U$3,"[IF].[departamento_jerarquia2]","[IF].[departamento_jerarquia2].&amp;["&amp;F$5&amp;"]","[IF].[mes]","[IF].[mes].&amp;["&amp;F$8&amp;"]","[IF].[ano]","[IF].[ano].&amp;["&amp;F$7&amp;"]","[IF].[informacion]","[IF].[informacion].&amp;["&amp;F$9&amp;"]","[IF].[nombre_cuenta]","[IF].[nombre_cuenta].&amp;["&amp;$B18&amp;"]"),0)</f>
        <v>0</v>
      </c>
      <c r="G18" s="9">
        <f>IFERROR(GETPIVOTDATA("[Measures].[Suma de valor]",base!$U$3,"[IF].[departamento_jerarquia2]","[IF].[departamento_jerarquia2].&amp;["&amp;G$5&amp;"]","[IF].[mes]","[IF].[mes].&amp;["&amp;G$8&amp;"]","[IF].[ano]","[IF].[ano].&amp;["&amp;G$7&amp;"]","[IF].[informacion]","[IF].[informacion].&amp;["&amp;G$9&amp;"]","[IF].[nombre_cuenta]","[IF].[nombre_cuenta].&amp;["&amp;$B18&amp;"]"),0)</f>
        <v>0</v>
      </c>
      <c r="H18" s="9">
        <f>IFERROR(GETPIVOTDATA("[Measures].[Suma de valor]",base!$U$3,"[IF].[departamento_jerarquia2]","[IF].[departamento_jerarquia2].&amp;["&amp;H$5&amp;"]","[IF].[mes]","[IF].[mes].&amp;["&amp;H$8&amp;"]","[IF].[ano]","[IF].[ano].&amp;["&amp;H$7&amp;"]","[IF].[informacion]","[IF].[informacion].&amp;["&amp;H$9&amp;"]","[IF].[nombre_cuenta]","[IF].[nombre_cuenta].&amp;["&amp;$B18&amp;"]"),0)</f>
        <v>0</v>
      </c>
      <c r="I18" s="9">
        <f>IFERROR(GETPIVOTDATA("[Measures].[Suma de valor]",base!$U$3,"[IF].[departamento_jerarquia2]","[IF].[departamento_jerarquia2].&amp;["&amp;I$5&amp;"]","[IF].[mes]","[IF].[mes].&amp;["&amp;I$8&amp;"]","[IF].[ano]","[IF].[ano].&amp;["&amp;I$7&amp;"]","[IF].[informacion]","[IF].[informacion].&amp;["&amp;I$9&amp;"]","[IF].[nombre_cuenta]","[IF].[nombre_cuenta].&amp;["&amp;$B18&amp;"]"),0)</f>
        <v>0</v>
      </c>
      <c r="J18" s="9"/>
      <c r="K18" s="9"/>
      <c r="L18" s="12">
        <f t="shared" si="3"/>
        <v>45.84</v>
      </c>
      <c r="N18" s="12">
        <f t="shared" si="4"/>
        <v>45.84</v>
      </c>
    </row>
    <row r="19" spans="1:14" x14ac:dyDescent="0.25">
      <c r="B19" t="s">
        <v>101</v>
      </c>
      <c r="C19" s="9">
        <f>IFERROR(GETPIVOTDATA("[Measures].[Suma de valor]",base!$A$3,"[IF].[departamento_jerarquia2]","[IF].[departamento_jerarquia2].&amp;["&amp;C$5&amp;"]","[IF].[grupo_analisis]","[IF].[grupo_analisis].&amp;["&amp;$B19&amp;"]","[IF].[mes]","[IF].[mes].&amp;["&amp;C$8&amp;"]","[IF].[ano]","[IF].[ano].&amp;["&amp;C$7&amp;"]","[IF].[informacion]","[IF].[informacion].&amp;["&amp;C$9&amp;"]"),0)</f>
        <v>0</v>
      </c>
      <c r="D19" s="9">
        <f>IFERROR(GETPIVOTDATA("[Measures].[Suma de valor]",base!$A$3,"[IF].[departamento_jerarquia2]","[IF].[departamento_jerarquia2].&amp;["&amp;D$5&amp;"]","[IF].[grupo_analisis]","[IF].[grupo_analisis].&amp;["&amp;$B19&amp;"]","[IF].[mes]","[IF].[mes].&amp;["&amp;D$8&amp;"]","[IF].[ano]","[IF].[ano].&amp;["&amp;D$7&amp;"]","[IF].[informacion]","[IF].[informacion].&amp;["&amp;D$9&amp;"]"),0)-E19</f>
        <v>0</v>
      </c>
      <c r="E19" s="9">
        <f>IFERROR(GETPIVOTDATA("[Measures].[Suma de valor]",base!$AN$5,"[IF].[grupo_analisis]","[IF].[grupo_analisis].&amp;["&amp;$B19&amp;"]","[IF].[mes]","[IF].[mes].&amp;["&amp;E$8&amp;"]","[IF].[ano]","[IF].[ano].&amp;["&amp;E$7&amp;"]","[IF].[informacion]","[IF].[informacion].&amp;["&amp;E$9&amp;"]"),0)</f>
        <v>0</v>
      </c>
      <c r="F19" s="9">
        <f>IFERROR(GETPIVOTDATA("[Measures].[Suma de valor]",base!$A$3,"[IF].[departamento_jerarquia2]","[IF].[departamento_jerarquia2].&amp;["&amp;F$5&amp;"]","[IF].[grupo_analisis]","[IF].[grupo_analisis].&amp;["&amp;$B19&amp;"]","[IF].[mes]","[IF].[mes].&amp;["&amp;F$8&amp;"]","[IF].[ano]","[IF].[ano].&amp;["&amp;F$7&amp;"]","[IF].[informacion]","[IF].[informacion].&amp;["&amp;F$9&amp;"]"),0)</f>
        <v>0</v>
      </c>
      <c r="G19" s="9">
        <f>IFERROR(GETPIVOTDATA("[Measures].[Suma de valor]",base!$A$3,"[IF].[departamento_jerarquia2]","[IF].[departamento_jerarquia2].&amp;["&amp;G$5&amp;"]","[IF].[grupo_analisis]","[IF].[grupo_analisis].&amp;["&amp;$B19&amp;"]","[IF].[mes]","[IF].[mes].&amp;["&amp;G$8&amp;"]","[IF].[ano]","[IF].[ano].&amp;["&amp;G$7&amp;"]","[IF].[informacion]","[IF].[informacion].&amp;["&amp;G$9&amp;"]"),0)</f>
        <v>0</v>
      </c>
      <c r="H19" s="9">
        <f>IFERROR(GETPIVOTDATA("[Measures].[Suma de valor]",base!$A$3,"[IF].[departamento_jerarquia2]","[IF].[departamento_jerarquia2].&amp;["&amp;H$5&amp;"]","[IF].[grupo_analisis]","[IF].[grupo_analisis].&amp;["&amp;$B19&amp;"]","[IF].[mes]","[IF].[mes].&amp;["&amp;H$8&amp;"]","[IF].[ano]","[IF].[ano].&amp;["&amp;H$7&amp;"]","[IF].[informacion]","[IF].[informacion].&amp;["&amp;H$9&amp;"]"),0)</f>
        <v>0</v>
      </c>
      <c r="I19" s="9">
        <f>IFERROR(GETPIVOTDATA("[Measures].[Suma de valor]",base!$A$3,"[IF].[departamento_jerarquia2]","[IF].[departamento_jerarquia2].&amp;["&amp;I$5&amp;"]","[IF].[grupo_analisis]","[IF].[grupo_analisis].&amp;["&amp;$B19&amp;"]","[IF].[mes]","[IF].[mes].&amp;["&amp;I$8&amp;"]","[IF].[ano]","[IF].[ano].&amp;["&amp;I$7&amp;"]","[IF].[informacion]","[IF].[informacion].&amp;["&amp;I$9&amp;"]"),0)</f>
        <v>939.84084400999984</v>
      </c>
      <c r="J19" s="9"/>
      <c r="K19" s="9"/>
      <c r="L19" s="12">
        <f t="shared" si="3"/>
        <v>939.84084400999984</v>
      </c>
      <c r="N19" s="12">
        <f t="shared" si="4"/>
        <v>939.84084400999984</v>
      </c>
    </row>
    <row r="20" spans="1:14" x14ac:dyDescent="0.25">
      <c r="B20" t="s">
        <v>121</v>
      </c>
      <c r="C20" s="9">
        <f>IFERROR(GETPIVOTDATA("[Measures].[Suma de valor]",base!$A$3,"[IF].[departamento_jerarquia2]","[IF].[departamento_jerarquia2].&amp;["&amp;C$5&amp;"]","[IF].[grupo_analisis]","[IF].[grupo_analisis].&amp;["&amp;$B20&amp;"]","[IF].[mes]","[IF].[mes].&amp;["&amp;C$8&amp;"]","[IF].[ano]","[IF].[ano].&amp;["&amp;C$7&amp;"]","[IF].[informacion]","[IF].[informacion].&amp;["&amp;C$9&amp;"]"),0)</f>
        <v>0</v>
      </c>
      <c r="D20" s="9">
        <f>IFERROR(GETPIVOTDATA("[Measures].[Suma de valor]",base!$A$3,"[IF].[departamento_jerarquia2]","[IF].[departamento_jerarquia2].&amp;["&amp;D$5&amp;"]","[IF].[grupo_analisis]","[IF].[grupo_analisis].&amp;["&amp;$B20&amp;"]","[IF].[mes]","[IF].[mes].&amp;["&amp;D$8&amp;"]","[IF].[ano]","[IF].[ano].&amp;["&amp;D$7&amp;"]","[IF].[informacion]","[IF].[informacion].&amp;["&amp;D$9&amp;"]"),0)-E20</f>
        <v>0</v>
      </c>
      <c r="E20" s="9">
        <f>IFERROR(GETPIVOTDATA("[Measures].[Suma de valor]",base!$AN$5,"[IF].[grupo_analisis]","[IF].[grupo_analisis].&amp;["&amp;$B20&amp;"]","[IF].[mes]","[IF].[mes].&amp;["&amp;E$8&amp;"]","[IF].[ano]","[IF].[ano].&amp;["&amp;E$7&amp;"]","[IF].[informacion]","[IF].[informacion].&amp;["&amp;E$9&amp;"]"),0)</f>
        <v>2.6599999999999999E-2</v>
      </c>
      <c r="F20" s="9">
        <f>IFERROR(GETPIVOTDATA("[Measures].[Suma de valor]",base!$A$3,"[IF].[departamento_jerarquia2]","[IF].[departamento_jerarquia2].&amp;["&amp;F$5&amp;"]","[IF].[grupo_analisis]","[IF].[grupo_analisis].&amp;["&amp;$B20&amp;"]","[IF].[mes]","[IF].[mes].&amp;["&amp;F$8&amp;"]","[IF].[ano]","[IF].[ano].&amp;["&amp;F$7&amp;"]","[IF].[informacion]","[IF].[informacion].&amp;["&amp;F$9&amp;"]"),0)</f>
        <v>0</v>
      </c>
      <c r="G20" s="9">
        <f>IFERROR(GETPIVOTDATA("[Measures].[Suma de valor]",base!$A$3,"[IF].[departamento_jerarquia2]","[IF].[departamento_jerarquia2].&amp;["&amp;G$5&amp;"]","[IF].[grupo_analisis]","[IF].[grupo_analisis].&amp;["&amp;$B20&amp;"]","[IF].[mes]","[IF].[mes].&amp;["&amp;G$8&amp;"]","[IF].[ano]","[IF].[ano].&amp;["&amp;G$7&amp;"]","[IF].[informacion]","[IF].[informacion].&amp;["&amp;G$9&amp;"]"),0)</f>
        <v>0</v>
      </c>
      <c r="H20" s="9">
        <f>IFERROR(GETPIVOTDATA("[Measures].[Suma de valor]",base!$A$3,"[IF].[departamento_jerarquia2]","[IF].[departamento_jerarquia2].&amp;["&amp;H$5&amp;"]","[IF].[grupo_analisis]","[IF].[grupo_analisis].&amp;["&amp;$B20&amp;"]","[IF].[mes]","[IF].[mes].&amp;["&amp;H$8&amp;"]","[IF].[ano]","[IF].[ano].&amp;["&amp;H$7&amp;"]","[IF].[informacion]","[IF].[informacion].&amp;["&amp;H$9&amp;"]"),0)</f>
        <v>0</v>
      </c>
      <c r="I20" s="9">
        <f>IFERROR(GETPIVOTDATA("[Measures].[Suma de valor]",base!$A$3,"[IF].[departamento_jerarquia2]","[IF].[departamento_jerarquia2].&amp;["&amp;I$5&amp;"]","[IF].[grupo_analisis]","[IF].[grupo_analisis].&amp;["&amp;$B20&amp;"]","[IF].[mes]","[IF].[mes].&amp;["&amp;I$8&amp;"]","[IF].[ano]","[IF].[ano].&amp;["&amp;I$7&amp;"]","[IF].[informacion]","[IF].[informacion].&amp;["&amp;I$9&amp;"]"),0)</f>
        <v>0</v>
      </c>
      <c r="J20" s="9"/>
      <c r="K20" s="9"/>
      <c r="L20" s="12">
        <f t="shared" si="3"/>
        <v>2.6599999999999999E-2</v>
      </c>
      <c r="N20" s="12">
        <f t="shared" si="4"/>
        <v>2.6599999999999999E-2</v>
      </c>
    </row>
    <row r="21" spans="1:14" collapsed="1" x14ac:dyDescent="0.25">
      <c r="B21" s="8" t="s">
        <v>113</v>
      </c>
      <c r="C21" s="10">
        <f t="shared" ref="C21:N21" si="5">SUM(C22:C37)</f>
        <v>0</v>
      </c>
      <c r="D21" s="10">
        <f t="shared" si="5"/>
        <v>0</v>
      </c>
      <c r="E21" s="10">
        <f t="shared" si="5"/>
        <v>1.5894999999999999</v>
      </c>
      <c r="F21" s="10">
        <f t="shared" si="5"/>
        <v>0</v>
      </c>
      <c r="G21" s="10">
        <f t="shared" si="5"/>
        <v>0</v>
      </c>
      <c r="H21" s="10">
        <f t="shared" si="5"/>
        <v>0</v>
      </c>
      <c r="I21" s="10">
        <f t="shared" si="5"/>
        <v>52.701440000000005</v>
      </c>
      <c r="J21" s="10"/>
      <c r="K21" s="10"/>
      <c r="L21" s="13">
        <f t="shared" si="5"/>
        <v>54.290940000000006</v>
      </c>
      <c r="M21" s="8"/>
      <c r="N21" s="13">
        <f t="shared" si="5"/>
        <v>0</v>
      </c>
    </row>
    <row r="22" spans="1:14" hidden="1" outlineLevel="1" x14ac:dyDescent="0.25">
      <c r="A22" t="s">
        <v>132</v>
      </c>
      <c r="B22" t="s">
        <v>167</v>
      </c>
      <c r="C22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22&amp;"]"),0)</f>
        <v>0</v>
      </c>
      <c r="D22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22&amp;"]"),0)-E22</f>
        <v>0</v>
      </c>
      <c r="E22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valor]",base!$AW$5,"[IF].[mes]","[IF].[mes].&amp;["&amp;E$8&amp;"]","[IF].[ano]","[IF].[ano].&amp;["&amp;E$7&amp;"]","[IF].[informacion]","[IF].[informacion].&amp;["&amp;E$9&amp;"]","[IF].[cuenta_ppto]","[IF].[cuenta_ppto].&amp;["&amp;$A22&amp;"]"),0)</f>
        <v>0</v>
      </c>
      <c r="F22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22&amp;"]"),0)</f>
        <v>0</v>
      </c>
      <c r="G22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22&amp;"]"),0)</f>
        <v>0</v>
      </c>
      <c r="H22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22&amp;"]"),0)</f>
        <v>0</v>
      </c>
      <c r="I22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22&amp;"]"),0)</f>
        <v>18.476245000000002</v>
      </c>
      <c r="J22" s="11"/>
      <c r="K22" s="11"/>
      <c r="L22" s="123">
        <f t="shared" si="3"/>
        <v>18.476245000000002</v>
      </c>
      <c r="N22" s="11"/>
    </row>
    <row r="23" spans="1:14" hidden="1" outlineLevel="1" x14ac:dyDescent="0.25">
      <c r="A23" t="s">
        <v>133</v>
      </c>
      <c r="B23" t="s">
        <v>168</v>
      </c>
      <c r="C23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23&amp;"]"),0)</f>
        <v>0</v>
      </c>
      <c r="D23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23&amp;"]"),0)-E23</f>
        <v>0</v>
      </c>
      <c r="E23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valor]",base!$AW$5,"[IF].[mes]","[IF].[mes].&amp;["&amp;E$8&amp;"]","[IF].[ano]","[IF].[ano].&amp;["&amp;E$7&amp;"]","[IF].[informacion]","[IF].[informacion].&amp;["&amp;E$9&amp;"]","[IF].[cuenta_ppto]","[IF].[cuenta_ppto].&amp;["&amp;$A23&amp;"]"),0)</f>
        <v>1.5894999999999999</v>
      </c>
      <c r="F23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23&amp;"]"),0)</f>
        <v>0</v>
      </c>
      <c r="G23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23&amp;"]"),0)</f>
        <v>0</v>
      </c>
      <c r="H23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23&amp;"]"),0)</f>
        <v>0</v>
      </c>
      <c r="I23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23&amp;"]"),0)</f>
        <v>34.225194999999999</v>
      </c>
      <c r="J23" s="11"/>
      <c r="K23" s="11"/>
      <c r="L23" s="124">
        <f t="shared" si="3"/>
        <v>35.814695</v>
      </c>
      <c r="N23" s="11"/>
    </row>
    <row r="24" spans="1:14" hidden="1" outlineLevel="1" x14ac:dyDescent="0.25">
      <c r="A24" t="s">
        <v>134</v>
      </c>
      <c r="B24" t="s">
        <v>169</v>
      </c>
      <c r="C24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24&amp;"]"),0)</f>
        <v>0</v>
      </c>
      <c r="D24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24&amp;"]"),0)-E24</f>
        <v>0</v>
      </c>
      <c r="E24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valor]",base!$AW$5,"[IF].[mes]","[IF].[mes].&amp;["&amp;E$8&amp;"]","[IF].[ano]","[IF].[ano].&amp;["&amp;E$7&amp;"]","[IF].[informacion]","[IF].[informacion].&amp;["&amp;E$9&amp;"]","[IF].[cuenta_ppto]","[IF].[cuenta_ppto].&amp;["&amp;$A24&amp;"]"),0)</f>
        <v>0</v>
      </c>
      <c r="F24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24&amp;"]"),0)</f>
        <v>0</v>
      </c>
      <c r="G24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24&amp;"]"),0)</f>
        <v>0</v>
      </c>
      <c r="H24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24&amp;"]"),0)</f>
        <v>0</v>
      </c>
      <c r="I24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24&amp;"]"),0)</f>
        <v>0</v>
      </c>
      <c r="J24" s="11"/>
      <c r="K24" s="11"/>
      <c r="L24" s="11">
        <f t="shared" si="3"/>
        <v>0</v>
      </c>
      <c r="N24" s="11"/>
    </row>
    <row r="25" spans="1:14" hidden="1" outlineLevel="1" x14ac:dyDescent="0.25">
      <c r="A25" t="s">
        <v>135</v>
      </c>
      <c r="B25" t="s">
        <v>170</v>
      </c>
      <c r="C25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25&amp;"]"),0)</f>
        <v>0</v>
      </c>
      <c r="D25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25&amp;"]"),0)-E25</f>
        <v>0</v>
      </c>
      <c r="E25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valor]",base!$AW$5,"[IF].[mes]","[IF].[mes].&amp;["&amp;E$8&amp;"]","[IF].[ano]","[IF].[ano].&amp;["&amp;E$7&amp;"]","[IF].[informacion]","[IF].[informacion].&amp;["&amp;E$9&amp;"]","[IF].[cuenta_ppto]","[IF].[cuenta_ppto].&amp;["&amp;$A25&amp;"]"),0)</f>
        <v>0</v>
      </c>
      <c r="F25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25&amp;"]"),0)</f>
        <v>0</v>
      </c>
      <c r="G25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25&amp;"]"),0)</f>
        <v>0</v>
      </c>
      <c r="H25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25&amp;"]"),0)</f>
        <v>0</v>
      </c>
      <c r="I25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25&amp;"]"),0)</f>
        <v>0</v>
      </c>
      <c r="J25" s="11"/>
      <c r="K25" s="11"/>
      <c r="L25" s="11">
        <f t="shared" si="3"/>
        <v>0</v>
      </c>
      <c r="N25" s="11"/>
    </row>
    <row r="26" spans="1:14" hidden="1" outlineLevel="1" x14ac:dyDescent="0.25">
      <c r="A26" t="s">
        <v>136</v>
      </c>
      <c r="B26" t="s">
        <v>171</v>
      </c>
      <c r="C26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26&amp;"]"),0)</f>
        <v>0</v>
      </c>
      <c r="D26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26&amp;"]"),0)-E26</f>
        <v>0</v>
      </c>
      <c r="E26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valor]",base!$AW$5,"[IF].[mes]","[IF].[mes].&amp;["&amp;E$8&amp;"]","[IF].[ano]","[IF].[ano].&amp;["&amp;E$7&amp;"]","[IF].[informacion]","[IF].[informacion].&amp;["&amp;E$9&amp;"]","[IF].[cuenta_ppto]","[IF].[cuenta_ppto].&amp;["&amp;$A26&amp;"]"),0)</f>
        <v>0</v>
      </c>
      <c r="F26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26&amp;"]"),0)</f>
        <v>0</v>
      </c>
      <c r="G26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26&amp;"]"),0)</f>
        <v>0</v>
      </c>
      <c r="H26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26&amp;"]"),0)</f>
        <v>0</v>
      </c>
      <c r="I26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26&amp;"]"),0)</f>
        <v>0</v>
      </c>
      <c r="J26" s="11"/>
      <c r="K26" s="11"/>
      <c r="L26" s="11">
        <f t="shared" si="3"/>
        <v>0</v>
      </c>
      <c r="N26" s="11"/>
    </row>
    <row r="27" spans="1:14" hidden="1" outlineLevel="1" x14ac:dyDescent="0.25">
      <c r="A27" t="s">
        <v>137</v>
      </c>
      <c r="B27" t="s">
        <v>172</v>
      </c>
      <c r="C27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27&amp;"]"),0)</f>
        <v>0</v>
      </c>
      <c r="D27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27&amp;"]"),0)-E27</f>
        <v>0</v>
      </c>
      <c r="E27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valor]",base!$AW$5,"[IF].[mes]","[IF].[mes].&amp;["&amp;E$8&amp;"]","[IF].[ano]","[IF].[ano].&amp;["&amp;E$7&amp;"]","[IF].[informacion]","[IF].[informacion].&amp;["&amp;E$9&amp;"]","[IF].[cuenta_ppto]","[IF].[cuenta_ppto].&amp;["&amp;$A27&amp;"]"),0)</f>
        <v>0</v>
      </c>
      <c r="F27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27&amp;"]"),0)</f>
        <v>0</v>
      </c>
      <c r="G27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27&amp;"]"),0)</f>
        <v>0</v>
      </c>
      <c r="H27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27&amp;"]"),0)</f>
        <v>0</v>
      </c>
      <c r="I27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27&amp;"]"),0)</f>
        <v>0</v>
      </c>
      <c r="J27" s="11"/>
      <c r="K27" s="11"/>
      <c r="L27" s="11">
        <f t="shared" si="3"/>
        <v>0</v>
      </c>
      <c r="N27" s="11"/>
    </row>
    <row r="28" spans="1:14" hidden="1" outlineLevel="1" x14ac:dyDescent="0.25">
      <c r="A28" t="s">
        <v>138</v>
      </c>
      <c r="B28" t="s">
        <v>173</v>
      </c>
      <c r="C28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28&amp;"]"),0)</f>
        <v>0</v>
      </c>
      <c r="D28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28&amp;"]"),0)-E28</f>
        <v>0</v>
      </c>
      <c r="E28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valor]",base!$AW$5,"[IF].[mes]","[IF].[mes].&amp;["&amp;E$8&amp;"]","[IF].[ano]","[IF].[ano].&amp;["&amp;E$7&amp;"]","[IF].[informacion]","[IF].[informacion].&amp;["&amp;E$9&amp;"]","[IF].[cuenta_ppto]","[IF].[cuenta_ppto].&amp;["&amp;$A28&amp;"]"),0)</f>
        <v>0</v>
      </c>
      <c r="F28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28&amp;"]"),0)</f>
        <v>0</v>
      </c>
      <c r="G28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28&amp;"]"),0)</f>
        <v>0</v>
      </c>
      <c r="H28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28&amp;"]"),0)</f>
        <v>0</v>
      </c>
      <c r="I28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28&amp;"]"),0)</f>
        <v>0</v>
      </c>
      <c r="J28" s="11"/>
      <c r="K28" s="11"/>
      <c r="L28" s="11">
        <f t="shared" si="3"/>
        <v>0</v>
      </c>
      <c r="N28" s="11"/>
    </row>
    <row r="29" spans="1:14" hidden="1" outlineLevel="1" x14ac:dyDescent="0.25">
      <c r="A29" t="s">
        <v>139</v>
      </c>
      <c r="B29" t="s">
        <v>174</v>
      </c>
      <c r="C29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29&amp;"]"),0)</f>
        <v>0</v>
      </c>
      <c r="D29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29&amp;"]"),0)-E29</f>
        <v>0</v>
      </c>
      <c r="E29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valor]",base!$AW$5,"[IF].[mes]","[IF].[mes].&amp;["&amp;E$8&amp;"]","[IF].[ano]","[IF].[ano].&amp;["&amp;E$7&amp;"]","[IF].[informacion]","[IF].[informacion].&amp;["&amp;E$9&amp;"]","[IF].[cuenta_ppto]","[IF].[cuenta_ppto].&amp;["&amp;$A29&amp;"]"),0)</f>
        <v>0</v>
      </c>
      <c r="F29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29&amp;"]"),0)</f>
        <v>0</v>
      </c>
      <c r="G29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29&amp;"]"),0)</f>
        <v>0</v>
      </c>
      <c r="H29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29&amp;"]"),0)</f>
        <v>0</v>
      </c>
      <c r="I29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29&amp;"]"),0)</f>
        <v>0</v>
      </c>
      <c r="J29" s="11"/>
      <c r="K29" s="11"/>
      <c r="L29" s="11">
        <f t="shared" si="3"/>
        <v>0</v>
      </c>
      <c r="N29" s="11"/>
    </row>
    <row r="30" spans="1:14" hidden="1" outlineLevel="1" x14ac:dyDescent="0.25">
      <c r="A30" t="s">
        <v>140</v>
      </c>
      <c r="B30" t="s">
        <v>175</v>
      </c>
      <c r="C30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30&amp;"]"),0)</f>
        <v>0</v>
      </c>
      <c r="D30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30&amp;"]"),0)-E30</f>
        <v>0</v>
      </c>
      <c r="E30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valor]",base!$AW$5,"[IF].[mes]","[IF].[mes].&amp;["&amp;E$8&amp;"]","[IF].[ano]","[IF].[ano].&amp;["&amp;E$7&amp;"]","[IF].[informacion]","[IF].[informacion].&amp;["&amp;E$9&amp;"]","[IF].[cuenta_ppto]","[IF].[cuenta_ppto].&amp;["&amp;$A30&amp;"]"),0)</f>
        <v>0</v>
      </c>
      <c r="F30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30&amp;"]"),0)</f>
        <v>0</v>
      </c>
      <c r="G30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30&amp;"]"),0)</f>
        <v>0</v>
      </c>
      <c r="H30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30&amp;"]"),0)</f>
        <v>0</v>
      </c>
      <c r="I30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30&amp;"]"),0)</f>
        <v>0</v>
      </c>
      <c r="J30" s="11"/>
      <c r="K30" s="11"/>
      <c r="L30" s="11">
        <f t="shared" si="3"/>
        <v>0</v>
      </c>
      <c r="N30" s="11"/>
    </row>
    <row r="31" spans="1:14" hidden="1" outlineLevel="1" x14ac:dyDescent="0.25">
      <c r="A31" t="s">
        <v>141</v>
      </c>
      <c r="B31" t="s">
        <v>176</v>
      </c>
      <c r="C31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31&amp;"]"),0)</f>
        <v>0</v>
      </c>
      <c r="D31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31&amp;"]"),0)-E31</f>
        <v>0</v>
      </c>
      <c r="E31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valor]",base!$AW$5,"[IF].[mes]","[IF].[mes].&amp;["&amp;E$8&amp;"]","[IF].[ano]","[IF].[ano].&amp;["&amp;E$7&amp;"]","[IF].[informacion]","[IF].[informacion].&amp;["&amp;E$9&amp;"]","[IF].[cuenta_ppto]","[IF].[cuenta_ppto].&amp;["&amp;$A31&amp;"]"),0)</f>
        <v>0</v>
      </c>
      <c r="F31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31&amp;"]"),0)</f>
        <v>0</v>
      </c>
      <c r="G31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31&amp;"]"),0)</f>
        <v>0</v>
      </c>
      <c r="H31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31&amp;"]"),0)</f>
        <v>0</v>
      </c>
      <c r="I31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31&amp;"]"),0)</f>
        <v>0</v>
      </c>
      <c r="J31" s="11"/>
      <c r="K31" s="11"/>
      <c r="L31" s="11">
        <f t="shared" si="3"/>
        <v>0</v>
      </c>
      <c r="N31" s="11"/>
    </row>
    <row r="32" spans="1:14" hidden="1" outlineLevel="1" x14ac:dyDescent="0.25">
      <c r="A32" t="s">
        <v>142</v>
      </c>
      <c r="B32" t="s">
        <v>177</v>
      </c>
      <c r="C32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32&amp;"]"),0)</f>
        <v>0</v>
      </c>
      <c r="D32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32&amp;"]"),0)-E32</f>
        <v>0</v>
      </c>
      <c r="E32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valor]",base!$AW$5,"[IF].[mes]","[IF].[mes].&amp;["&amp;E$8&amp;"]","[IF].[ano]","[IF].[ano].&amp;["&amp;E$7&amp;"]","[IF].[informacion]","[IF].[informacion].&amp;["&amp;E$9&amp;"]","[IF].[cuenta_ppto]","[IF].[cuenta_ppto].&amp;["&amp;$A32&amp;"]"),0)</f>
        <v>0</v>
      </c>
      <c r="F32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32&amp;"]"),0)</f>
        <v>0</v>
      </c>
      <c r="G32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32&amp;"]"),0)</f>
        <v>0</v>
      </c>
      <c r="H32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32&amp;"]"),0)</f>
        <v>0</v>
      </c>
      <c r="I32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32&amp;"]"),0)</f>
        <v>0</v>
      </c>
      <c r="J32" s="11"/>
      <c r="K32" s="11"/>
      <c r="L32" s="11">
        <f t="shared" si="3"/>
        <v>0</v>
      </c>
      <c r="N32" s="11"/>
    </row>
    <row r="33" spans="1:14" hidden="1" outlineLevel="1" x14ac:dyDescent="0.25">
      <c r="A33" t="s">
        <v>143</v>
      </c>
      <c r="B33" t="s">
        <v>178</v>
      </c>
      <c r="C33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33&amp;"]"),0)</f>
        <v>0</v>
      </c>
      <c r="D33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33&amp;"]"),0)-E33</f>
        <v>0</v>
      </c>
      <c r="E33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valor]",base!$AW$5,"[IF].[mes]","[IF].[mes].&amp;["&amp;E$8&amp;"]","[IF].[ano]","[IF].[ano].&amp;["&amp;E$7&amp;"]","[IF].[informacion]","[IF].[informacion].&amp;["&amp;E$9&amp;"]","[IF].[cuenta_ppto]","[IF].[cuenta_ppto].&amp;["&amp;$A33&amp;"]"),0)</f>
        <v>0</v>
      </c>
      <c r="F33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33&amp;"]"),0)</f>
        <v>0</v>
      </c>
      <c r="G33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33&amp;"]"),0)</f>
        <v>0</v>
      </c>
      <c r="H33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33&amp;"]"),0)</f>
        <v>0</v>
      </c>
      <c r="I33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33&amp;"]"),0)</f>
        <v>0</v>
      </c>
      <c r="J33" s="11"/>
      <c r="K33" s="11"/>
      <c r="L33" s="11">
        <f t="shared" si="3"/>
        <v>0</v>
      </c>
      <c r="N33" s="11"/>
    </row>
    <row r="34" spans="1:14" hidden="1" outlineLevel="1" x14ac:dyDescent="0.25">
      <c r="A34" t="s">
        <v>144</v>
      </c>
      <c r="B34" t="s">
        <v>179</v>
      </c>
      <c r="C34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34&amp;"]"),0)</f>
        <v>0</v>
      </c>
      <c r="D34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34&amp;"]"),0)-E34</f>
        <v>0</v>
      </c>
      <c r="E34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valor]",base!$AW$5,"[IF].[mes]","[IF].[mes].&amp;["&amp;E$8&amp;"]","[IF].[ano]","[IF].[ano].&amp;["&amp;E$7&amp;"]","[IF].[informacion]","[IF].[informacion].&amp;["&amp;E$9&amp;"]","[IF].[cuenta_ppto]","[IF].[cuenta_ppto].&amp;["&amp;$A34&amp;"]"),0)</f>
        <v>0</v>
      </c>
      <c r="F34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34&amp;"]"),0)</f>
        <v>0</v>
      </c>
      <c r="G34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34&amp;"]"),0)</f>
        <v>0</v>
      </c>
      <c r="H34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34&amp;"]"),0)</f>
        <v>0</v>
      </c>
      <c r="I34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34&amp;"]"),0)</f>
        <v>0</v>
      </c>
      <c r="J34" s="11"/>
      <c r="K34" s="11"/>
      <c r="L34" s="11">
        <f t="shared" si="3"/>
        <v>0</v>
      </c>
      <c r="N34" s="11"/>
    </row>
    <row r="35" spans="1:14" hidden="1" outlineLevel="1" x14ac:dyDescent="0.25">
      <c r="A35" t="s">
        <v>145</v>
      </c>
      <c r="B35" t="s">
        <v>180</v>
      </c>
      <c r="C35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35&amp;"]"),0)</f>
        <v>0</v>
      </c>
      <c r="D35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35&amp;"]"),0)-E35</f>
        <v>0</v>
      </c>
      <c r="E35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valor]",base!$AW$5,"[IF].[mes]","[IF].[mes].&amp;["&amp;E$8&amp;"]","[IF].[ano]","[IF].[ano].&amp;["&amp;E$7&amp;"]","[IF].[informacion]","[IF].[informacion].&amp;["&amp;E$9&amp;"]","[IF].[cuenta_ppto]","[IF].[cuenta_ppto].&amp;["&amp;$A35&amp;"]"),0)</f>
        <v>0</v>
      </c>
      <c r="F35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35&amp;"]"),0)</f>
        <v>0</v>
      </c>
      <c r="G35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35&amp;"]"),0)</f>
        <v>0</v>
      </c>
      <c r="H35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35&amp;"]"),0)</f>
        <v>0</v>
      </c>
      <c r="I35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35&amp;"]"),0)</f>
        <v>0</v>
      </c>
      <c r="J35" s="11"/>
      <c r="K35" s="11"/>
      <c r="L35" s="11">
        <f t="shared" ref="L35:L36" si="6">SUM(C35:K35)</f>
        <v>0</v>
      </c>
      <c r="N35" s="11"/>
    </row>
    <row r="36" spans="1:14" hidden="1" outlineLevel="1" x14ac:dyDescent="0.25">
      <c r="A36" t="s">
        <v>359</v>
      </c>
      <c r="B36" t="s">
        <v>361</v>
      </c>
      <c r="C36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36&amp;"]"),0)</f>
        <v>0</v>
      </c>
      <c r="D36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36&amp;"]"),0)-E36</f>
        <v>0</v>
      </c>
      <c r="E36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valor]",base!$AW$5,"[IF].[mes]","[IF].[mes].&amp;["&amp;E$8&amp;"]","[IF].[ano]","[IF].[ano].&amp;["&amp;E$7&amp;"]","[IF].[informacion]","[IF].[informacion].&amp;["&amp;E$9&amp;"]","[IF].[cuenta_ppto]","[IF].[cuenta_ppto].&amp;["&amp;$A36&amp;"]"),0)</f>
        <v>0</v>
      </c>
      <c r="F36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36&amp;"]"),0)</f>
        <v>0</v>
      </c>
      <c r="G36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36&amp;"]"),0)</f>
        <v>0</v>
      </c>
      <c r="H36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36&amp;"]"),0)</f>
        <v>0</v>
      </c>
      <c r="I36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36&amp;"]"),0)</f>
        <v>0</v>
      </c>
      <c r="J36" s="11"/>
      <c r="K36" s="11"/>
      <c r="L36" s="11">
        <f t="shared" si="6"/>
        <v>0</v>
      </c>
      <c r="N36" s="11"/>
    </row>
    <row r="37" spans="1:14" hidden="1" outlineLevel="1" x14ac:dyDescent="0.25">
      <c r="A37" t="s">
        <v>360</v>
      </c>
      <c r="B37" t="s">
        <v>362</v>
      </c>
      <c r="C37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37&amp;"]"),0)</f>
        <v>0</v>
      </c>
      <c r="D37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37&amp;"]"),0)-E37</f>
        <v>0</v>
      </c>
      <c r="E37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valor]",base!$AW$5,"[IF].[mes]","[IF].[mes].&amp;["&amp;E$8&amp;"]","[IF].[ano]","[IF].[ano].&amp;["&amp;E$7&amp;"]","[IF].[informacion]","[IF].[informacion].&amp;["&amp;E$9&amp;"]","[IF].[cuenta_ppto]","[IF].[cuenta_ppto].&amp;["&amp;$A37&amp;"]"),0)</f>
        <v>0</v>
      </c>
      <c r="F37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37&amp;"]"),0)</f>
        <v>0</v>
      </c>
      <c r="G37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37&amp;"]"),0)</f>
        <v>0</v>
      </c>
      <c r="H37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37&amp;"]"),0)</f>
        <v>0</v>
      </c>
      <c r="I37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37&amp;"]"),0)</f>
        <v>0</v>
      </c>
      <c r="J37" s="11"/>
      <c r="K37" s="11"/>
      <c r="L37" s="124">
        <f t="shared" si="3"/>
        <v>0</v>
      </c>
      <c r="N37" s="11">
        <f>+L37</f>
        <v>0</v>
      </c>
    </row>
    <row r="38" spans="1:14" x14ac:dyDescent="0.25">
      <c r="B38" t="s">
        <v>100</v>
      </c>
      <c r="C38" s="9">
        <f>IFERROR(GETPIVOTDATA("[Measures].[Suma de valor]",base!$A$3,"[IF].[departamento_jerarquia2]","[IF].[departamento_jerarquia2].&amp;["&amp;C$5&amp;"]","[IF].[grupo_analisis]","[IF].[grupo_analisis].&amp;["&amp;$B38&amp;"]","[IF].[mes]","[IF].[mes].&amp;["&amp;C$8&amp;"]","[IF].[ano]","[IF].[ano].&amp;["&amp;C$7&amp;"]","[IF].[informacion]","[IF].[informacion].&amp;["&amp;C$9&amp;"]"),0)</f>
        <v>0</v>
      </c>
      <c r="D38" s="9">
        <f>IFERROR(GETPIVOTDATA("[Measures].[Suma de valor]",base!$A$3,"[IF].[departamento_jerarquia2]","[IF].[departamento_jerarquia2].&amp;["&amp;D$5&amp;"]","[IF].[grupo_analisis]","[IF].[grupo_analisis].&amp;["&amp;$B38&amp;"]","[IF].[mes]","[IF].[mes].&amp;["&amp;D$8&amp;"]","[IF].[ano]","[IF].[ano].&amp;["&amp;D$7&amp;"]","[IF].[informacion]","[IF].[informacion].&amp;["&amp;D$9&amp;"]"),0)-E38</f>
        <v>-23.478351000000004</v>
      </c>
      <c r="E38" s="9">
        <f>IFERROR(GETPIVOTDATA("[Measures].[Suma de valor]",base!$AN$5,"[IF].[grupo_analisis]","[IF].[grupo_analisis].&amp;["&amp;$B38&amp;"]","[IF].[mes]","[IF].[mes].&amp;["&amp;E$8&amp;"]","[IF].[ano]","[IF].[ano].&amp;["&amp;E$7&amp;"]","[IF].[informacion]","[IF].[informacion].&amp;["&amp;E$9&amp;"]"),0)</f>
        <v>-70.673005000000003</v>
      </c>
      <c r="F38" s="9">
        <f>IFERROR(GETPIVOTDATA("[Measures].[Suma de valor]",base!$A$3,"[IF].[departamento_jerarquia2]","[IF].[departamento_jerarquia2].&amp;["&amp;F$5&amp;"]","[IF].[grupo_analisis]","[IF].[grupo_analisis].&amp;["&amp;$B38&amp;"]","[IF].[mes]","[IF].[mes].&amp;["&amp;F$8&amp;"]","[IF].[ano]","[IF].[ano].&amp;["&amp;F$7&amp;"]","[IF].[informacion]","[IF].[informacion].&amp;["&amp;F$9&amp;"]"),0)</f>
        <v>-68.41</v>
      </c>
      <c r="G38" s="9">
        <f>IFERROR(GETPIVOTDATA("[Measures].[Suma de valor]",base!$A$3,"[IF].[departamento_jerarquia2]","[IF].[departamento_jerarquia2].&amp;["&amp;G$5&amp;"]","[IF].[grupo_analisis]","[IF].[grupo_analisis].&amp;["&amp;$B38&amp;"]","[IF].[mes]","[IF].[mes].&amp;["&amp;G$8&amp;"]","[IF].[ano]","[IF].[ano].&amp;["&amp;G$7&amp;"]","[IF].[informacion]","[IF].[informacion].&amp;["&amp;G$9&amp;"]"),0)</f>
        <v>0</v>
      </c>
      <c r="H38" s="9">
        <f>IFERROR(GETPIVOTDATA("[Measures].[Suma de valor]",base!$A$3,"[IF].[departamento_jerarquia2]","[IF].[departamento_jerarquia2].&amp;["&amp;H$5&amp;"]","[IF].[grupo_analisis]","[IF].[grupo_analisis].&amp;["&amp;$B38&amp;"]","[IF].[mes]","[IF].[mes].&amp;["&amp;H$8&amp;"]","[IF].[ano]","[IF].[ano].&amp;["&amp;H$7&amp;"]","[IF].[informacion]","[IF].[informacion].&amp;["&amp;H$9&amp;"]"),0)</f>
        <v>0</v>
      </c>
      <c r="I38" s="9">
        <f>IFERROR(GETPIVOTDATA("[Measures].[Suma de valor]",base!$A$3,"[IF].[departamento_jerarquia2]","[IF].[departamento_jerarquia2].&amp;["&amp;I$5&amp;"]","[IF].[grupo_analisis]","[IF].[grupo_analisis].&amp;["&amp;$B38&amp;"]","[IF].[mes]","[IF].[mes].&amp;["&amp;I$8&amp;"]","[IF].[ano]","[IF].[ano].&amp;["&amp;I$7&amp;"]","[IF].[informacion]","[IF].[informacion].&amp;["&amp;I$9&amp;"]"),0)</f>
        <v>-2.0990000000000002</v>
      </c>
      <c r="J38" s="9"/>
      <c r="K38" s="9"/>
      <c r="L38" s="12">
        <f t="shared" si="3"/>
        <v>-164.66035599999998</v>
      </c>
      <c r="N38" s="12">
        <f t="shared" ref="N38" si="7">L38</f>
        <v>-164.66035599999998</v>
      </c>
    </row>
    <row r="39" spans="1:14" x14ac:dyDescent="0.25">
      <c r="B39" s="14" t="s">
        <v>203</v>
      </c>
      <c r="C39" s="15">
        <f t="shared" ref="C39:L39" si="8">SUM(C13:C21,C38)</f>
        <v>0</v>
      </c>
      <c r="D39" s="15">
        <f t="shared" si="8"/>
        <v>217.41577300000003</v>
      </c>
      <c r="E39" s="15">
        <f t="shared" si="8"/>
        <v>1142.0604859999999</v>
      </c>
      <c r="F39" s="15">
        <f t="shared" si="8"/>
        <v>-68.41</v>
      </c>
      <c r="G39" s="15">
        <f t="shared" si="8"/>
        <v>0</v>
      </c>
      <c r="H39" s="15">
        <f t="shared" si="8"/>
        <v>0</v>
      </c>
      <c r="I39" s="15">
        <f t="shared" si="8"/>
        <v>1233.2952840099999</v>
      </c>
      <c r="J39" s="15"/>
      <c r="K39" s="15"/>
      <c r="L39" s="16">
        <f t="shared" si="8"/>
        <v>2524.3615430099999</v>
      </c>
      <c r="N39" s="16">
        <f>SUM(N13:N21,N38)</f>
        <v>2470.07060301</v>
      </c>
    </row>
    <row r="41" spans="1:14" x14ac:dyDescent="0.25">
      <c r="B41" t="s">
        <v>106</v>
      </c>
      <c r="C41" s="9">
        <f>IFERROR(GETPIVOTDATA("[Measures].[Suma de valor]",base!$A$3,"[IF].[departamento_jerarquia2]","[IF].[departamento_jerarquia2].&amp;["&amp;C$5&amp;"]","[IF].[grupo_analisis]","[IF].[grupo_analisis].&amp;["&amp;$B41&amp;"]","[IF].[mes]","[IF].[mes].&amp;["&amp;C$8&amp;"]","[IF].[ano]","[IF].[ano].&amp;["&amp;C$7&amp;"]","[IF].[informacion]","[IF].[informacion].&amp;["&amp;C$9&amp;"]"),0)</f>
        <v>0</v>
      </c>
      <c r="D41" s="9">
        <f>IFERROR(GETPIVOTDATA("[Measures].[Suma de valor]",base!$A$3,"[IF].[departamento_jerarquia2]","[IF].[departamento_jerarquia2].&amp;["&amp;D$5&amp;"]","[IF].[grupo_analisis]","[IF].[grupo_analisis].&amp;["&amp;$B41&amp;"]","[IF].[mes]","[IF].[mes].&amp;["&amp;D$8&amp;"]","[IF].[ano]","[IF].[ano].&amp;["&amp;D$7&amp;"]","[IF].[informacion]","[IF].[informacion].&amp;["&amp;D$9&amp;"]"),0)-E41</f>
        <v>10.860819000000006</v>
      </c>
      <c r="E41" s="9">
        <f>IFERROR(GETPIVOTDATA("[Measures].[Suma de valor]",base!$AN$5,"[IF].[grupo_analisis]","[IF].[grupo_analisis].&amp;["&amp;$B41&amp;"]","[IF].[mes]","[IF].[mes].&amp;["&amp;E$8&amp;"]","[IF].[ano]","[IF].[ano].&amp;["&amp;E$7&amp;"]","[IF].[informacion]","[IF].[informacion].&amp;["&amp;E$9&amp;"]"),0)</f>
        <v>97.25101500000001</v>
      </c>
      <c r="F41" s="9">
        <f>IFERROR(GETPIVOTDATA("[Measures].[Suma de valor]",base!$A$3,"[IF].[departamento_jerarquia2]","[IF].[departamento_jerarquia2].&amp;["&amp;F$5&amp;"]","[IF].[grupo_analisis]","[IF].[grupo_analisis].&amp;["&amp;$B41&amp;"]","[IF].[mes]","[IF].[mes].&amp;["&amp;F$8&amp;"]","[IF].[ano]","[IF].[ano].&amp;["&amp;F$7&amp;"]","[IF].[informacion]","[IF].[informacion].&amp;["&amp;F$9&amp;"]"),0)</f>
        <v>0</v>
      </c>
      <c r="G41" s="9">
        <f>IFERROR(GETPIVOTDATA("[Measures].[Suma de valor]",base!$A$3,"[IF].[departamento_jerarquia2]","[IF].[departamento_jerarquia2].&amp;["&amp;G$5&amp;"]","[IF].[grupo_analisis]","[IF].[grupo_analisis].&amp;["&amp;$B41&amp;"]","[IF].[mes]","[IF].[mes].&amp;["&amp;G$8&amp;"]","[IF].[ano]","[IF].[ano].&amp;["&amp;G$7&amp;"]","[IF].[informacion]","[IF].[informacion].&amp;["&amp;G$9&amp;"]"),0)</f>
        <v>0</v>
      </c>
      <c r="H41" s="9">
        <f>IFERROR(GETPIVOTDATA("[Measures].[Suma de valor]",base!$A$3,"[IF].[departamento_jerarquia2]","[IF].[departamento_jerarquia2].&amp;["&amp;H$5&amp;"]","[IF].[grupo_analisis]","[IF].[grupo_analisis].&amp;["&amp;$B41&amp;"]","[IF].[mes]","[IF].[mes].&amp;["&amp;H$8&amp;"]","[IF].[ano]","[IF].[ano].&amp;["&amp;H$7&amp;"]","[IF].[informacion]","[IF].[informacion].&amp;["&amp;H$9&amp;"]"),0)</f>
        <v>0</v>
      </c>
      <c r="I41" s="9">
        <f>IFERROR(GETPIVOTDATA("[Measures].[Suma de valor]",base!$A$3,"[IF].[departamento_jerarquia2]","[IF].[departamento_jerarquia2].&amp;["&amp;I$5&amp;"]","[IF].[grupo_analisis]","[IF].[grupo_analisis].&amp;["&amp;$B41&amp;"]","[IF].[mes]","[IF].[mes].&amp;["&amp;I$8&amp;"]","[IF].[ano]","[IF].[ano].&amp;["&amp;I$7&amp;"]","[IF].[informacion]","[IF].[informacion].&amp;["&amp;I$9&amp;"]"),0)</f>
        <v>305.66372800000005</v>
      </c>
      <c r="J41" s="9"/>
      <c r="K41" s="9"/>
      <c r="L41" s="12">
        <f t="shared" ref="L41:L46" si="9">SUM(C41:K41)</f>
        <v>413.77556200000004</v>
      </c>
      <c r="N41" s="12">
        <f t="shared" ref="N41:N46" si="10">L41</f>
        <v>413.77556200000004</v>
      </c>
    </row>
    <row r="42" spans="1:14" x14ac:dyDescent="0.25">
      <c r="B42" t="s">
        <v>111</v>
      </c>
      <c r="C42" s="9">
        <f>IFERROR(GETPIVOTDATA("[Measures].[Suma de valor]",base!$A$3,"[IF].[departamento_jerarquia2]","[IF].[departamento_jerarquia2].&amp;["&amp;C$5&amp;"]","[IF].[grupo_analisis]","[IF].[grupo_analisis].&amp;["&amp;$B42&amp;"]","[IF].[mes]","[IF].[mes].&amp;["&amp;C$8&amp;"]","[IF].[ano]","[IF].[ano].&amp;["&amp;C$7&amp;"]","[IF].[informacion]","[IF].[informacion].&amp;["&amp;C$9&amp;"]"),0)</f>
        <v>0</v>
      </c>
      <c r="D42" s="9">
        <f>IFERROR(GETPIVOTDATA("[Measures].[Suma de valor]",base!$A$3,"[IF].[departamento_jerarquia2]","[IF].[departamento_jerarquia2].&amp;["&amp;D$5&amp;"]","[IF].[grupo_analisis]","[IF].[grupo_analisis].&amp;["&amp;$B42&amp;"]","[IF].[mes]","[IF].[mes].&amp;["&amp;D$8&amp;"]","[IF].[ano]","[IF].[ano].&amp;["&amp;D$7&amp;"]","[IF].[informacion]","[IF].[informacion].&amp;["&amp;D$9&amp;"]"),0)-E42</f>
        <v>33.211674569999985</v>
      </c>
      <c r="E42" s="9">
        <f>IFERROR(GETPIVOTDATA("[Measures].[Suma de valor]",base!$AN$5,"[IF].[grupo_analisis]","[IF].[grupo_analisis].&amp;["&amp;$B42&amp;"]","[IF].[mes]","[IF].[mes].&amp;["&amp;E$8&amp;"]","[IF].[ano]","[IF].[ano].&amp;["&amp;E$7&amp;"]","[IF].[informacion]","[IF].[informacion].&amp;["&amp;E$9&amp;"]"),0)</f>
        <v>234.37107934000002</v>
      </c>
      <c r="F42" s="9">
        <f>IFERROR(GETPIVOTDATA("[Measures].[Suma de valor]",base!$A$3,"[IF].[departamento_jerarquia2]","[IF].[departamento_jerarquia2].&amp;["&amp;F$5&amp;"]","[IF].[grupo_analisis]","[IF].[grupo_analisis].&amp;["&amp;$B42&amp;"]","[IF].[mes]","[IF].[mes].&amp;["&amp;F$8&amp;"]","[IF].[ano]","[IF].[ano].&amp;["&amp;F$7&amp;"]","[IF].[informacion]","[IF].[informacion].&amp;["&amp;F$9&amp;"]"),0)</f>
        <v>0</v>
      </c>
      <c r="G42" s="9">
        <f>IFERROR(GETPIVOTDATA("[Measures].[Suma de valor]",base!$A$3,"[IF].[departamento_jerarquia2]","[IF].[departamento_jerarquia2].&amp;["&amp;G$5&amp;"]","[IF].[grupo_analisis]","[IF].[grupo_analisis].&amp;["&amp;$B42&amp;"]","[IF].[mes]","[IF].[mes].&amp;["&amp;G$8&amp;"]","[IF].[ano]","[IF].[ano].&amp;["&amp;G$7&amp;"]","[IF].[informacion]","[IF].[informacion].&amp;["&amp;G$9&amp;"]"),0)</f>
        <v>0</v>
      </c>
      <c r="H42" s="9">
        <f>IFERROR(GETPIVOTDATA("[Measures].[Suma de valor]",base!$A$3,"[IF].[departamento_jerarquia2]","[IF].[departamento_jerarquia2].&amp;["&amp;H$5&amp;"]","[IF].[grupo_analisis]","[IF].[grupo_analisis].&amp;["&amp;$B42&amp;"]","[IF].[mes]","[IF].[mes].&amp;["&amp;H$8&amp;"]","[IF].[ano]","[IF].[ano].&amp;["&amp;H$7&amp;"]","[IF].[informacion]","[IF].[informacion].&amp;["&amp;H$9&amp;"]"),0)</f>
        <v>0</v>
      </c>
      <c r="I42" s="9">
        <f>IFERROR(GETPIVOTDATA("[Measures].[Suma de valor]",base!$A$3,"[IF].[departamento_jerarquia2]","[IF].[departamento_jerarquia2].&amp;["&amp;I$5&amp;"]","[IF].[grupo_analisis]","[IF].[grupo_analisis].&amp;["&amp;$B42&amp;"]","[IF].[mes]","[IF].[mes].&amp;["&amp;I$8&amp;"]","[IF].[ano]","[IF].[ano].&amp;["&amp;I$7&amp;"]","[IF].[informacion]","[IF].[informacion].&amp;["&amp;I$9&amp;"]"),0)</f>
        <v>140.48341146000001</v>
      </c>
      <c r="J42" s="9"/>
      <c r="K42" s="9"/>
      <c r="L42" s="12">
        <f t="shared" si="9"/>
        <v>408.06616537000002</v>
      </c>
      <c r="N42" s="12">
        <f t="shared" si="10"/>
        <v>408.06616537000002</v>
      </c>
    </row>
    <row r="43" spans="1:14" x14ac:dyDescent="0.25">
      <c r="B43" t="s">
        <v>108</v>
      </c>
      <c r="C43" s="9">
        <f>IFERROR(GETPIVOTDATA("[Measures].[Suma de valor]",base!$A$3,"[IF].[departamento_jerarquia2]","[IF].[departamento_jerarquia2].&amp;["&amp;C$5&amp;"]","[IF].[grupo_analisis]","[IF].[grupo_analisis].&amp;["&amp;$B43&amp;"]","[IF].[mes]","[IF].[mes].&amp;["&amp;C$8&amp;"]","[IF].[ano]","[IF].[ano].&amp;["&amp;C$7&amp;"]","[IF].[informacion]","[IF].[informacion].&amp;["&amp;C$9&amp;"]"),0)</f>
        <v>0</v>
      </c>
      <c r="D43" s="9">
        <f>IFERROR(GETPIVOTDATA("[Measures].[Suma de valor]",base!$A$3,"[IF].[departamento_jerarquia2]","[IF].[departamento_jerarquia2].&amp;["&amp;D$5&amp;"]","[IF].[grupo_analisis]","[IF].[grupo_analisis].&amp;["&amp;$B43&amp;"]","[IF].[mes]","[IF].[mes].&amp;["&amp;D$8&amp;"]","[IF].[ano]","[IF].[ano].&amp;["&amp;D$7&amp;"]","[IF].[informacion]","[IF].[informacion].&amp;["&amp;D$9&amp;"]"),0)-E43</f>
        <v>0.56499999999999995</v>
      </c>
      <c r="E43" s="9">
        <f>IFERROR(GETPIVOTDATA("[Measures].[Suma de valor]",base!$AN$5,"[IF].[grupo_analisis]","[IF].[grupo_analisis].&amp;["&amp;$B43&amp;"]","[IF].[mes]","[IF].[mes].&amp;["&amp;E$8&amp;"]","[IF].[ano]","[IF].[ano].&amp;["&amp;E$7&amp;"]","[IF].[informacion]","[IF].[informacion].&amp;["&amp;E$9&amp;"]"),0)</f>
        <v>3.4213070000000001</v>
      </c>
      <c r="F43" s="9">
        <f>IFERROR(GETPIVOTDATA("[Measures].[Suma de valor]",base!$A$3,"[IF].[departamento_jerarquia2]","[IF].[departamento_jerarquia2].&amp;["&amp;F$5&amp;"]","[IF].[grupo_analisis]","[IF].[grupo_analisis].&amp;["&amp;$B43&amp;"]","[IF].[mes]","[IF].[mes].&amp;["&amp;F$8&amp;"]","[IF].[ano]","[IF].[ano].&amp;["&amp;F$7&amp;"]","[IF].[informacion]","[IF].[informacion].&amp;["&amp;F$9&amp;"]"),0)</f>
        <v>1.3209</v>
      </c>
      <c r="G43" s="9">
        <f>IFERROR(GETPIVOTDATA("[Measures].[Suma de valor]",base!$A$3,"[IF].[departamento_jerarquia2]","[IF].[departamento_jerarquia2].&amp;["&amp;G$5&amp;"]","[IF].[grupo_analisis]","[IF].[grupo_analisis].&amp;["&amp;$B43&amp;"]","[IF].[mes]","[IF].[mes].&amp;["&amp;G$8&amp;"]","[IF].[ano]","[IF].[ano].&amp;["&amp;G$7&amp;"]","[IF].[informacion]","[IF].[informacion].&amp;["&amp;G$9&amp;"]"),0)</f>
        <v>0</v>
      </c>
      <c r="H43" s="9">
        <f>IFERROR(GETPIVOTDATA("[Measures].[Suma de valor]",base!$A$3,"[IF].[departamento_jerarquia2]","[IF].[departamento_jerarquia2].&amp;["&amp;H$5&amp;"]","[IF].[grupo_analisis]","[IF].[grupo_analisis].&amp;["&amp;$B43&amp;"]","[IF].[mes]","[IF].[mes].&amp;["&amp;H$8&amp;"]","[IF].[ano]","[IF].[ano].&amp;["&amp;H$7&amp;"]","[IF].[informacion]","[IF].[informacion].&amp;["&amp;H$9&amp;"]"),0)</f>
        <v>0</v>
      </c>
      <c r="I43" s="9">
        <f>IFERROR(GETPIVOTDATA("[Measures].[Suma de valor]",base!$A$3,"[IF].[departamento_jerarquia2]","[IF].[departamento_jerarquia2].&amp;["&amp;I$5&amp;"]","[IF].[grupo_analisis]","[IF].[grupo_analisis].&amp;["&amp;$B43&amp;"]","[IF].[mes]","[IF].[mes].&amp;["&amp;I$8&amp;"]","[IF].[ano]","[IF].[ano].&amp;["&amp;I$7&amp;"]","[IF].[informacion]","[IF].[informacion].&amp;["&amp;I$9&amp;"]"),0)</f>
        <v>39.385173999999992</v>
      </c>
      <c r="J43" s="9"/>
      <c r="K43" s="9"/>
      <c r="L43" s="12">
        <f t="shared" si="9"/>
        <v>44.69238099999999</v>
      </c>
      <c r="N43" s="12">
        <f t="shared" si="10"/>
        <v>44.69238099999999</v>
      </c>
    </row>
    <row r="44" spans="1:14" x14ac:dyDescent="0.25">
      <c r="B44" t="s">
        <v>315</v>
      </c>
      <c r="C44" s="9">
        <f>IFERROR(GETPIVOTDATA("[Measures].[Suma de valor]",base!$A$3,"[IF].[departamento_jerarquia2]","[IF].[departamento_jerarquia2].&amp;["&amp;C$5&amp;"]","[IF].[grupo_analisis]","[IF].[grupo_analisis].&amp;["&amp;$B44&amp;"]","[IF].[mes]","[IF].[mes].&amp;["&amp;C$8&amp;"]","[IF].[ano]","[IF].[ano].&amp;["&amp;C$7&amp;"]","[IF].[informacion]","[IF].[informacion].&amp;["&amp;C$9&amp;"]"),0)</f>
        <v>0</v>
      </c>
      <c r="D44" s="9">
        <f>IFERROR(GETPIVOTDATA("[Measures].[Suma de valor]",base!$A$3,"[IF].[departamento_jerarquia2]","[IF].[departamento_jerarquia2].&amp;["&amp;D$5&amp;"]","[IF].[grupo_analisis]","[IF].[grupo_analisis].&amp;["&amp;$B44&amp;"]","[IF].[mes]","[IF].[mes].&amp;["&amp;D$8&amp;"]","[IF].[ano]","[IF].[ano].&amp;["&amp;D$7&amp;"]","[IF].[informacion]","[IF].[informacion].&amp;["&amp;D$9&amp;"]"),0)-E44</f>
        <v>0</v>
      </c>
      <c r="E44" s="9">
        <f>IFERROR(GETPIVOTDATA("[Measures].[Suma de valor]",base!$AN$5,"[IF].[grupo_analisis]","[IF].[grupo_analisis].&amp;["&amp;$B44&amp;"]","[IF].[mes]","[IF].[mes].&amp;["&amp;E$8&amp;"]","[IF].[ano]","[IF].[ano].&amp;["&amp;E$7&amp;"]","[IF].[informacion]","[IF].[informacion].&amp;["&amp;E$9&amp;"]"),0)</f>
        <v>0</v>
      </c>
      <c r="F44" s="9">
        <f>IFERROR(GETPIVOTDATA("[Measures].[Suma de valor]",base!$A$3,"[IF].[departamento_jerarquia2]","[IF].[departamento_jerarquia2].&amp;["&amp;F$5&amp;"]","[IF].[grupo_analisis]","[IF].[grupo_analisis].&amp;["&amp;$B44&amp;"]","[IF].[mes]","[IF].[mes].&amp;["&amp;F$8&amp;"]","[IF].[ano]","[IF].[ano].&amp;["&amp;F$7&amp;"]","[IF].[informacion]","[IF].[informacion].&amp;["&amp;F$9&amp;"]"),0)</f>
        <v>0</v>
      </c>
      <c r="G44" s="9">
        <f>IFERROR(GETPIVOTDATA("[Measures].[Suma de valor]",base!$A$3,"[IF].[departamento_jerarquia2]","[IF].[departamento_jerarquia2].&amp;["&amp;G$5&amp;"]","[IF].[grupo_analisis]","[IF].[grupo_analisis].&amp;["&amp;$B44&amp;"]","[IF].[mes]","[IF].[mes].&amp;["&amp;G$8&amp;"]","[IF].[ano]","[IF].[ano].&amp;["&amp;G$7&amp;"]","[IF].[informacion]","[IF].[informacion].&amp;["&amp;G$9&amp;"]"),0)</f>
        <v>0</v>
      </c>
      <c r="H44" s="9">
        <f>IFERROR(GETPIVOTDATA("[Measures].[Suma de valor]",base!$A$3,"[IF].[departamento_jerarquia2]","[IF].[departamento_jerarquia2].&amp;["&amp;H$5&amp;"]","[IF].[grupo_analisis]","[IF].[grupo_analisis].&amp;["&amp;$B44&amp;"]","[IF].[mes]","[IF].[mes].&amp;["&amp;H$8&amp;"]","[IF].[ano]","[IF].[ano].&amp;["&amp;H$7&amp;"]","[IF].[informacion]","[IF].[informacion].&amp;["&amp;H$9&amp;"]"),0)</f>
        <v>0</v>
      </c>
      <c r="I44" s="9">
        <f>IFERROR(GETPIVOTDATA("[Measures].[Suma de valor]",base!$A$3,"[IF].[departamento_jerarquia2]","[IF].[departamento_jerarquia2].&amp;["&amp;I$5&amp;"]","[IF].[grupo_analisis]","[IF].[grupo_analisis].&amp;["&amp;$B44&amp;"]","[IF].[mes]","[IF].[mes].&amp;["&amp;I$8&amp;"]","[IF].[ano]","[IF].[ano].&amp;["&amp;I$7&amp;"]","[IF].[informacion]","[IF].[informacion].&amp;["&amp;I$9&amp;"]"),0)</f>
        <v>0</v>
      </c>
      <c r="J44" s="9"/>
      <c r="K44" s="9"/>
      <c r="L44" s="12">
        <f t="shared" si="9"/>
        <v>0</v>
      </c>
      <c r="N44" s="12">
        <f>L44</f>
        <v>0</v>
      </c>
    </row>
    <row r="45" spans="1:14" x14ac:dyDescent="0.25">
      <c r="B45" t="s">
        <v>314</v>
      </c>
      <c r="C45" s="9">
        <f>IFERROR(GETPIVOTDATA("[Measures].[Suma de valor]",base!$A$3,"[IF].[departamento_jerarquia2]","[IF].[departamento_jerarquia2].&amp;["&amp;C$5&amp;"]","[IF].[grupo_analisis]","[IF].[grupo_analisis].&amp;["&amp;$B45&amp;"]","[IF].[mes]","[IF].[mes].&amp;["&amp;C$8&amp;"]","[IF].[ano]","[IF].[ano].&amp;["&amp;C$7&amp;"]","[IF].[informacion]","[IF].[informacion].&amp;["&amp;C$9&amp;"]"),0)</f>
        <v>0</v>
      </c>
      <c r="D45" s="9">
        <f>IFERROR(GETPIVOTDATA("[Measures].[Suma de valor]",base!$A$3,"[IF].[departamento_jerarquia2]","[IF].[departamento_jerarquia2].&amp;["&amp;D$5&amp;"]","[IF].[grupo_analisis]","[IF].[grupo_analisis].&amp;["&amp;$B45&amp;"]","[IF].[mes]","[IF].[mes].&amp;["&amp;D$8&amp;"]","[IF].[ano]","[IF].[ano].&amp;["&amp;D$7&amp;"]","[IF].[informacion]","[IF].[informacion].&amp;["&amp;D$9&amp;"]"),0)-E45</f>
        <v>0</v>
      </c>
      <c r="E45" s="9">
        <f>IFERROR(GETPIVOTDATA("[Measures].[Suma de valor]",base!$AN$5,"[IF].[grupo_analisis]","[IF].[grupo_analisis].&amp;["&amp;$B45&amp;"]","[IF].[mes]","[IF].[mes].&amp;["&amp;E$8&amp;"]","[IF].[ano]","[IF].[ano].&amp;["&amp;E$7&amp;"]","[IF].[informacion]","[IF].[informacion].&amp;["&amp;E$9&amp;"]"),0)</f>
        <v>6.6148060000000006</v>
      </c>
      <c r="F45" s="9">
        <f>IFERROR(GETPIVOTDATA("[Measures].[Suma de valor]",base!$A$3,"[IF].[departamento_jerarquia2]","[IF].[departamento_jerarquia2].&amp;["&amp;F$5&amp;"]","[IF].[grupo_analisis]","[IF].[grupo_analisis].&amp;["&amp;$B45&amp;"]","[IF].[mes]","[IF].[mes].&amp;["&amp;F$8&amp;"]","[IF].[ano]","[IF].[ano].&amp;["&amp;F$7&amp;"]","[IF].[informacion]","[IF].[informacion].&amp;["&amp;F$9&amp;"]"),0)</f>
        <v>0</v>
      </c>
      <c r="G45" s="9">
        <f>IFERROR(GETPIVOTDATA("[Measures].[Suma de valor]",base!$A$3,"[IF].[departamento_jerarquia2]","[IF].[departamento_jerarquia2].&amp;["&amp;G$5&amp;"]","[IF].[grupo_analisis]","[IF].[grupo_analisis].&amp;["&amp;$B45&amp;"]","[IF].[mes]","[IF].[mes].&amp;["&amp;G$8&amp;"]","[IF].[ano]","[IF].[ano].&amp;["&amp;G$7&amp;"]","[IF].[informacion]","[IF].[informacion].&amp;["&amp;G$9&amp;"]"),0)</f>
        <v>0</v>
      </c>
      <c r="H45" s="9">
        <f>IFERROR(GETPIVOTDATA("[Measures].[Suma de valor]",base!$A$3,"[IF].[departamento_jerarquia2]","[IF].[departamento_jerarquia2].&amp;["&amp;H$5&amp;"]","[IF].[grupo_analisis]","[IF].[grupo_analisis].&amp;["&amp;$B45&amp;"]","[IF].[mes]","[IF].[mes].&amp;["&amp;H$8&amp;"]","[IF].[ano]","[IF].[ano].&amp;["&amp;H$7&amp;"]","[IF].[informacion]","[IF].[informacion].&amp;["&amp;H$9&amp;"]"),0)</f>
        <v>0</v>
      </c>
      <c r="I45" s="9">
        <f>IFERROR(GETPIVOTDATA("[Measures].[Suma de valor]",base!$A$3,"[IF].[departamento_jerarquia2]","[IF].[departamento_jerarquia2].&amp;["&amp;I$5&amp;"]","[IF].[grupo_analisis]","[IF].[grupo_analisis].&amp;["&amp;$B45&amp;"]","[IF].[mes]","[IF].[mes].&amp;["&amp;I$8&amp;"]","[IF].[ano]","[IF].[ano].&amp;["&amp;I$7&amp;"]","[IF].[informacion]","[IF].[informacion].&amp;["&amp;I$9&amp;"]"),0)</f>
        <v>47.112852000000004</v>
      </c>
      <c r="J45" s="9"/>
      <c r="K45" s="9"/>
      <c r="L45" s="12">
        <f t="shared" si="9"/>
        <v>53.727658000000005</v>
      </c>
      <c r="N45" s="12">
        <f t="shared" ref="N45" si="11">L45</f>
        <v>53.727658000000005</v>
      </c>
    </row>
    <row r="46" spans="1:14" x14ac:dyDescent="0.25">
      <c r="B46" t="s">
        <v>120</v>
      </c>
      <c r="C46" s="9">
        <f>IFERROR(GETPIVOTDATA("[Measures].[Suma de valor]",base!$A$3,"[IF].[departamento_jerarquia2]","[IF].[departamento_jerarquia2].&amp;["&amp;C$5&amp;"]","[IF].[grupo_analisis]","[IF].[grupo_analisis].&amp;["&amp;$B46&amp;"]","[IF].[mes]","[IF].[mes].&amp;["&amp;C$8&amp;"]","[IF].[ano]","[IF].[ano].&amp;["&amp;C$7&amp;"]","[IF].[informacion]","[IF].[informacion].&amp;["&amp;C$9&amp;"]"),0)</f>
        <v>0</v>
      </c>
      <c r="D46" s="9">
        <f>IFERROR(GETPIVOTDATA("[Measures].[Suma de valor]",base!$A$3,"[IF].[departamento_jerarquia2]","[IF].[departamento_jerarquia2].&amp;["&amp;D$5&amp;"]","[IF].[grupo_analisis]","[IF].[grupo_analisis].&amp;["&amp;$B46&amp;"]","[IF].[mes]","[IF].[mes].&amp;["&amp;D$8&amp;"]","[IF].[ano]","[IF].[ano].&amp;["&amp;D$7&amp;"]","[IF].[informacion]","[IF].[informacion].&amp;["&amp;D$9&amp;"]"),0)-E46</f>
        <v>0.44640044999999962</v>
      </c>
      <c r="E46" s="9">
        <f>IFERROR(GETPIVOTDATA("[Measures].[Suma de valor]",base!$AN$5,"[IF].[grupo_analisis]","[IF].[grupo_analisis].&amp;["&amp;$B46&amp;"]","[IF].[mes]","[IF].[mes].&amp;["&amp;E$8&amp;"]","[IF].[ano]","[IF].[ano].&amp;["&amp;E$7&amp;"]","[IF].[informacion]","[IF].[informacion].&amp;["&amp;E$9&amp;"]"),0)</f>
        <v>4.7077159800000006</v>
      </c>
      <c r="F46" s="9">
        <f>IFERROR(GETPIVOTDATA("[Measures].[Suma de valor]",base!$A$3,"[IF].[departamento_jerarquia2]","[IF].[departamento_jerarquia2].&amp;["&amp;F$5&amp;"]","[IF].[grupo_analisis]","[IF].[grupo_analisis].&amp;["&amp;$B46&amp;"]","[IF].[mes]","[IF].[mes].&amp;["&amp;F$8&amp;"]","[IF].[ano]","[IF].[ano].&amp;["&amp;F$7&amp;"]","[IF].[informacion]","[IF].[informacion].&amp;["&amp;F$9&amp;"]"),0)</f>
        <v>0</v>
      </c>
      <c r="G46" s="9">
        <f>IFERROR(GETPIVOTDATA("[Measures].[Suma de valor]",base!$A$3,"[IF].[departamento_jerarquia2]","[IF].[departamento_jerarquia2].&amp;["&amp;G$5&amp;"]","[IF].[grupo_analisis]","[IF].[grupo_analisis].&amp;["&amp;$B46&amp;"]","[IF].[mes]","[IF].[mes].&amp;["&amp;G$8&amp;"]","[IF].[ano]","[IF].[ano].&amp;["&amp;G$7&amp;"]","[IF].[informacion]","[IF].[informacion].&amp;["&amp;G$9&amp;"]"),0)</f>
        <v>0</v>
      </c>
      <c r="H46" s="9">
        <f>IFERROR(GETPIVOTDATA("[Measures].[Suma de valor]",base!$A$3,"[IF].[departamento_jerarquia2]","[IF].[departamento_jerarquia2].&amp;["&amp;H$5&amp;"]","[IF].[grupo_analisis]","[IF].[grupo_analisis].&amp;["&amp;$B46&amp;"]","[IF].[mes]","[IF].[mes].&amp;["&amp;H$8&amp;"]","[IF].[ano]","[IF].[ano].&amp;["&amp;H$7&amp;"]","[IF].[informacion]","[IF].[informacion].&amp;["&amp;H$9&amp;"]"),0)</f>
        <v>0</v>
      </c>
      <c r="I46" s="9">
        <f>IFERROR(GETPIVOTDATA("[Measures].[Suma de valor]",base!$A$3,"[IF].[departamento_jerarquia2]","[IF].[departamento_jerarquia2].&amp;["&amp;I$5&amp;"]","[IF].[grupo_analisis]","[IF].[grupo_analisis].&amp;["&amp;$B46&amp;"]","[IF].[mes]","[IF].[mes].&amp;["&amp;I$8&amp;"]","[IF].[ano]","[IF].[ano].&amp;["&amp;I$7&amp;"]","[IF].[informacion]","[IF].[informacion].&amp;["&amp;I$9&amp;"]"),0)</f>
        <v>6.4103497299999992</v>
      </c>
      <c r="J46" s="9"/>
      <c r="K46" s="9"/>
      <c r="L46" s="12">
        <f t="shared" si="9"/>
        <v>11.564466159999998</v>
      </c>
      <c r="N46" s="12">
        <f t="shared" si="10"/>
        <v>11.564466159999998</v>
      </c>
    </row>
    <row r="47" spans="1:14" collapsed="1" x14ac:dyDescent="0.25">
      <c r="B47" s="8" t="s">
        <v>109</v>
      </c>
      <c r="C47" s="10">
        <f t="shared" ref="C47:L47" si="12">SUM(C48:C66)</f>
        <v>0</v>
      </c>
      <c r="D47" s="10">
        <f t="shared" si="12"/>
        <v>141.71306555999999</v>
      </c>
      <c r="E47" s="10">
        <f t="shared" si="12"/>
        <v>551.97933982999996</v>
      </c>
      <c r="F47" s="10">
        <f t="shared" si="12"/>
        <v>0</v>
      </c>
      <c r="G47" s="10">
        <f t="shared" si="12"/>
        <v>0</v>
      </c>
      <c r="H47" s="10">
        <f t="shared" si="12"/>
        <v>0</v>
      </c>
      <c r="I47" s="10">
        <f t="shared" si="12"/>
        <v>301.47047299999997</v>
      </c>
      <c r="J47" s="10"/>
      <c r="K47" s="10"/>
      <c r="L47" s="13">
        <f t="shared" si="12"/>
        <v>995.16287838999995</v>
      </c>
      <c r="M47" s="152"/>
      <c r="N47" s="13">
        <f>SUM(N48:N66)</f>
        <v>940.87193838999997</v>
      </c>
    </row>
    <row r="48" spans="1:14" hidden="1" outlineLevel="1" x14ac:dyDescent="0.25">
      <c r="A48" t="s">
        <v>146</v>
      </c>
      <c r="B48" t="s">
        <v>181</v>
      </c>
      <c r="C48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48&amp;"]"),0)</f>
        <v>0</v>
      </c>
      <c r="D48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48&amp;"]"),0)-E48</f>
        <v>0</v>
      </c>
      <c r="E48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valor]",base!$AW$5,"[IF].[mes]","[IF].[mes].&amp;["&amp;E$8&amp;"]","[IF].[ano]","[IF].[ano].&amp;["&amp;E$7&amp;"]","[IF].[informacion]","[IF].[informacion].&amp;["&amp;E$9&amp;"]","[IF].[cuenta_ppto]","[IF].[cuenta_ppto].&amp;["&amp;$A48&amp;"]"),0)</f>
        <v>16.230388000000001</v>
      </c>
      <c r="F48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48&amp;"]"),0)</f>
        <v>0</v>
      </c>
      <c r="G48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48&amp;"]"),0)</f>
        <v>0</v>
      </c>
      <c r="H48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48&amp;"]"),0)</f>
        <v>0</v>
      </c>
      <c r="I48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48&amp;"]"),0)</f>
        <v>120.08627099999998</v>
      </c>
      <c r="J48" s="11"/>
      <c r="K48" s="11"/>
      <c r="L48" s="123">
        <f t="shared" ref="L48:L72" si="13">SUM(C48:K48)</f>
        <v>136.31665899999999</v>
      </c>
      <c r="N48" s="123">
        <f>(L48+L50-L22)</f>
        <v>117.84041399999998</v>
      </c>
    </row>
    <row r="49" spans="1:14" hidden="1" outlineLevel="1" x14ac:dyDescent="0.25">
      <c r="A49" t="s">
        <v>147</v>
      </c>
      <c r="B49" t="s">
        <v>182</v>
      </c>
      <c r="C49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49&amp;"]"),0)</f>
        <v>0</v>
      </c>
      <c r="D49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49&amp;"]"),0)-E49</f>
        <v>0</v>
      </c>
      <c r="E49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valor]",base!$AW$5,"[IF].[mes]","[IF].[mes].&amp;["&amp;E$8&amp;"]","[IF].[ano]","[IF].[ano].&amp;["&amp;E$7&amp;"]","[IF].[informacion]","[IF].[informacion].&amp;["&amp;E$9&amp;"]","[IF].[cuenta_ppto]","[IF].[cuenta_ppto].&amp;["&amp;$A49&amp;"]"),0)</f>
        <v>0.28000000000000003</v>
      </c>
      <c r="F49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49&amp;"]"),0)</f>
        <v>0</v>
      </c>
      <c r="G49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49&amp;"]"),0)</f>
        <v>0</v>
      </c>
      <c r="H49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49&amp;"]"),0)</f>
        <v>0</v>
      </c>
      <c r="I49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49&amp;"]"),0)</f>
        <v>0</v>
      </c>
      <c r="J49" s="11"/>
      <c r="K49" s="11"/>
      <c r="L49" s="3">
        <f t="shared" si="13"/>
        <v>0.28000000000000003</v>
      </c>
      <c r="N49" s="3">
        <f>L49</f>
        <v>0.28000000000000003</v>
      </c>
    </row>
    <row r="50" spans="1:14" hidden="1" outlineLevel="1" x14ac:dyDescent="0.25">
      <c r="A50" t="s">
        <v>148</v>
      </c>
      <c r="B50" t="s">
        <v>183</v>
      </c>
      <c r="C50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50&amp;"]"),0)</f>
        <v>0</v>
      </c>
      <c r="D50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50&amp;"]"),0)-E50</f>
        <v>0</v>
      </c>
      <c r="E50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valor]",base!$AW$5,"[IF].[mes]","[IF].[mes].&amp;["&amp;E$8&amp;"]","[IF].[ano]","[IF].[ano].&amp;["&amp;E$7&amp;"]","[IF].[informacion]","[IF].[informacion].&amp;["&amp;E$9&amp;"]","[IF].[cuenta_ppto]","[IF].[cuenta_ppto].&amp;["&amp;$A50&amp;"]"),0)</f>
        <v>0</v>
      </c>
      <c r="F50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50&amp;"]"),0)</f>
        <v>0</v>
      </c>
      <c r="G50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50&amp;"]"),0)</f>
        <v>0</v>
      </c>
      <c r="H50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50&amp;"]"),0)</f>
        <v>0</v>
      </c>
      <c r="I50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50&amp;"]"),0)</f>
        <v>0</v>
      </c>
      <c r="J50" s="11"/>
      <c r="K50" s="11"/>
      <c r="L50" s="123">
        <f t="shared" si="13"/>
        <v>0</v>
      </c>
      <c r="N50" s="3"/>
    </row>
    <row r="51" spans="1:14" hidden="1" outlineLevel="1" x14ac:dyDescent="0.25">
      <c r="A51" t="s">
        <v>149</v>
      </c>
      <c r="B51" t="s">
        <v>184</v>
      </c>
      <c r="C51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51&amp;"]"),0)</f>
        <v>0</v>
      </c>
      <c r="D51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51&amp;"]"),0)-E51</f>
        <v>0</v>
      </c>
      <c r="E51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valor]",base!$AW$5,"[IF].[mes]","[IF].[mes].&amp;["&amp;E$8&amp;"]","[IF].[ano]","[IF].[ano].&amp;["&amp;E$7&amp;"]","[IF].[informacion]","[IF].[informacion].&amp;["&amp;E$9&amp;"]","[IF].[cuenta_ppto]","[IF].[cuenta_ppto].&amp;["&amp;$A51&amp;"]"),0)</f>
        <v>0</v>
      </c>
      <c r="F51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51&amp;"]"),0)</f>
        <v>0</v>
      </c>
      <c r="G51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51&amp;"]"),0)</f>
        <v>0</v>
      </c>
      <c r="H51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51&amp;"]"),0)</f>
        <v>0</v>
      </c>
      <c r="I51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51&amp;"]"),0)</f>
        <v>0</v>
      </c>
      <c r="J51" s="11"/>
      <c r="K51" s="11"/>
      <c r="L51" s="124">
        <f t="shared" si="13"/>
        <v>0</v>
      </c>
      <c r="N51" s="3"/>
    </row>
    <row r="52" spans="1:14" hidden="1" outlineLevel="1" x14ac:dyDescent="0.25">
      <c r="A52" t="s">
        <v>150</v>
      </c>
      <c r="B52" t="s">
        <v>185</v>
      </c>
      <c r="C52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52&amp;"]"),0)</f>
        <v>0</v>
      </c>
      <c r="D52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52&amp;"]"),0)-E52</f>
        <v>0</v>
      </c>
      <c r="E52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valor]",base!$AW$5,"[IF].[mes]","[IF].[mes].&amp;["&amp;E$8&amp;"]","[IF].[ano]","[IF].[ano].&amp;["&amp;E$7&amp;"]","[IF].[informacion]","[IF].[informacion].&amp;["&amp;E$9&amp;"]","[IF].[cuenta_ppto]","[IF].[cuenta_ppto].&amp;["&amp;$A52&amp;"]"),0)</f>
        <v>0</v>
      </c>
      <c r="F52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52&amp;"]"),0)</f>
        <v>0</v>
      </c>
      <c r="G52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52&amp;"]"),0)</f>
        <v>0</v>
      </c>
      <c r="H52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52&amp;"]"),0)</f>
        <v>0</v>
      </c>
      <c r="I52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52&amp;"]"),0)</f>
        <v>0</v>
      </c>
      <c r="J52" s="11"/>
      <c r="K52" s="11"/>
      <c r="L52" s="3">
        <f t="shared" si="13"/>
        <v>0</v>
      </c>
      <c r="N52" s="3">
        <f t="shared" ref="N52:N65" si="14">L52</f>
        <v>0</v>
      </c>
    </row>
    <row r="53" spans="1:14" hidden="1" outlineLevel="1" x14ac:dyDescent="0.25">
      <c r="A53" t="s">
        <v>250</v>
      </c>
      <c r="B53" t="s">
        <v>358</v>
      </c>
      <c r="C53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53&amp;"]"),0)</f>
        <v>0</v>
      </c>
      <c r="D53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53&amp;"]"),0)-E53</f>
        <v>0</v>
      </c>
      <c r="E53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valor]",base!$AW$5,"[IF].[mes]","[IF].[mes].&amp;["&amp;E$8&amp;"]","[IF].[ano]","[IF].[ano].&amp;["&amp;E$7&amp;"]","[IF].[informacion]","[IF].[informacion].&amp;["&amp;E$9&amp;"]","[IF].[cuenta_ppto]","[IF].[cuenta_ppto].&amp;["&amp;$A53&amp;"]"),0)</f>
        <v>0</v>
      </c>
      <c r="F53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53&amp;"]"),0)</f>
        <v>0</v>
      </c>
      <c r="G53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53&amp;"]"),0)</f>
        <v>0</v>
      </c>
      <c r="H53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53&amp;"]"),0)</f>
        <v>0</v>
      </c>
      <c r="I53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53&amp;"]"),0)</f>
        <v>0</v>
      </c>
      <c r="J53" s="11"/>
      <c r="K53" s="11"/>
      <c r="L53" s="3">
        <f t="shared" si="13"/>
        <v>0</v>
      </c>
      <c r="N53" s="3">
        <f t="shared" si="14"/>
        <v>0</v>
      </c>
    </row>
    <row r="54" spans="1:14" hidden="1" outlineLevel="1" x14ac:dyDescent="0.25">
      <c r="A54" t="s">
        <v>151</v>
      </c>
      <c r="B54" t="s">
        <v>186</v>
      </c>
      <c r="C54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54&amp;"]"),0)</f>
        <v>0</v>
      </c>
      <c r="D54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54&amp;"]"),0)-E54</f>
        <v>0</v>
      </c>
      <c r="E54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valor]",base!$AW$5,"[IF].[mes]","[IF].[mes].&amp;["&amp;E$8&amp;"]","[IF].[ano]","[IF].[ano].&amp;["&amp;E$7&amp;"]","[IF].[informacion]","[IF].[informacion].&amp;["&amp;E$9&amp;"]","[IF].[cuenta_ppto]","[IF].[cuenta_ppto].&amp;["&amp;$A54&amp;"]"),0)</f>
        <v>5.6599999999999998E-2</v>
      </c>
      <c r="F54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54&amp;"]"),0)</f>
        <v>0</v>
      </c>
      <c r="G54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54&amp;"]"),0)</f>
        <v>0</v>
      </c>
      <c r="H54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54&amp;"]"),0)</f>
        <v>0</v>
      </c>
      <c r="I54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54&amp;"]"),0)</f>
        <v>0.63949999999999996</v>
      </c>
      <c r="J54" s="11"/>
      <c r="K54" s="11"/>
      <c r="L54" s="3">
        <f t="shared" si="13"/>
        <v>0.69609999999999994</v>
      </c>
      <c r="N54" s="3">
        <f t="shared" si="14"/>
        <v>0.69609999999999994</v>
      </c>
    </row>
    <row r="55" spans="1:14" hidden="1" outlineLevel="1" x14ac:dyDescent="0.25">
      <c r="A55" t="s">
        <v>152</v>
      </c>
      <c r="B55" t="s">
        <v>187</v>
      </c>
      <c r="C55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55&amp;"]"),0)</f>
        <v>0</v>
      </c>
      <c r="D55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55&amp;"]"),0)-E55</f>
        <v>4.7511239999999972</v>
      </c>
      <c r="E55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valor]",base!$AW$5,"[IF].[mes]","[IF].[mes].&amp;["&amp;E$8&amp;"]","[IF].[ano]","[IF].[ano].&amp;["&amp;E$7&amp;"]","[IF].[informacion]","[IF].[informacion].&amp;["&amp;E$9&amp;"]","[IF].[cuenta_ppto]","[IF].[cuenta_ppto].&amp;["&amp;$A55&amp;"]"),0)</f>
        <v>27.398184000000001</v>
      </c>
      <c r="F55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55&amp;"]"),0)</f>
        <v>0</v>
      </c>
      <c r="G55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55&amp;"]"),0)</f>
        <v>0</v>
      </c>
      <c r="H55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55&amp;"]"),0)</f>
        <v>0</v>
      </c>
      <c r="I55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55&amp;"]"),0)</f>
        <v>0</v>
      </c>
      <c r="J55" s="11"/>
      <c r="K55" s="11"/>
      <c r="L55" s="3">
        <f t="shared" si="13"/>
        <v>32.149307999999998</v>
      </c>
      <c r="N55" s="3">
        <f t="shared" si="14"/>
        <v>32.149307999999998</v>
      </c>
    </row>
    <row r="56" spans="1:14" hidden="1" outlineLevel="1" x14ac:dyDescent="0.25">
      <c r="A56" t="s">
        <v>153</v>
      </c>
      <c r="B56" t="s">
        <v>188</v>
      </c>
      <c r="C56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56&amp;"]"),0)</f>
        <v>0</v>
      </c>
      <c r="D56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56&amp;"]"),0)-E56</f>
        <v>1.8371160000000089</v>
      </c>
      <c r="E56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valor]",base!$AW$5,"[IF].[mes]","[IF].[mes].&amp;["&amp;E$8&amp;"]","[IF].[ano]","[IF].[ano].&amp;["&amp;E$7&amp;"]","[IF].[informacion]","[IF].[informacion].&amp;["&amp;E$9&amp;"]","[IF].[cuenta_ppto]","[IF].[cuenta_ppto].&amp;["&amp;$A56&amp;"]"),0)</f>
        <v>165.35659999999999</v>
      </c>
      <c r="F56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56&amp;"]"),0)</f>
        <v>0</v>
      </c>
      <c r="G56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56&amp;"]"),0)</f>
        <v>0</v>
      </c>
      <c r="H56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56&amp;"]"),0)</f>
        <v>0</v>
      </c>
      <c r="I56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56&amp;"]"),0)</f>
        <v>105.114993</v>
      </c>
      <c r="J56" s="11"/>
      <c r="K56" s="11"/>
      <c r="L56" s="3">
        <f t="shared" si="13"/>
        <v>272.30870900000002</v>
      </c>
      <c r="N56" s="3">
        <f t="shared" si="14"/>
        <v>272.30870900000002</v>
      </c>
    </row>
    <row r="57" spans="1:14" hidden="1" outlineLevel="1" x14ac:dyDescent="0.25">
      <c r="A57" t="s">
        <v>154</v>
      </c>
      <c r="B57" t="s">
        <v>189</v>
      </c>
      <c r="C57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57&amp;"]"),0)</f>
        <v>0</v>
      </c>
      <c r="D57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57&amp;"]"),0)-E57</f>
        <v>2.8183679999999995</v>
      </c>
      <c r="E57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valor]",base!$AW$5,"[IF].[mes]","[IF].[mes].&amp;["&amp;E$8&amp;"]","[IF].[ano]","[IF].[ano].&amp;["&amp;E$7&amp;"]","[IF].[informacion]","[IF].[informacion].&amp;["&amp;E$9&amp;"]","[IF].[cuenta_ppto]","[IF].[cuenta_ppto].&amp;["&amp;$A57&amp;"]"),0)</f>
        <v>16.252572000000001</v>
      </c>
      <c r="F57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57&amp;"]"),0)</f>
        <v>0</v>
      </c>
      <c r="G57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57&amp;"]"),0)</f>
        <v>0</v>
      </c>
      <c r="H57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57&amp;"]"),0)</f>
        <v>0</v>
      </c>
      <c r="I57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57&amp;"]"),0)</f>
        <v>0</v>
      </c>
      <c r="J57" s="11"/>
      <c r="K57" s="11"/>
      <c r="L57" s="3">
        <f t="shared" si="13"/>
        <v>19.07094</v>
      </c>
      <c r="N57" s="3">
        <f t="shared" si="14"/>
        <v>19.07094</v>
      </c>
    </row>
    <row r="58" spans="1:14" hidden="1" outlineLevel="1" x14ac:dyDescent="0.25">
      <c r="A58" t="s">
        <v>155</v>
      </c>
      <c r="B58" t="s">
        <v>190</v>
      </c>
      <c r="C58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58&amp;"]"),0)</f>
        <v>0</v>
      </c>
      <c r="D58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58&amp;"]"),0)-E58</f>
        <v>2.9782560000000018</v>
      </c>
      <c r="E58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valor]",base!$AW$5,"[IF].[mes]","[IF].[mes].&amp;["&amp;E$8&amp;"]","[IF].[ano]","[IF].[ano].&amp;["&amp;E$7&amp;"]","[IF].[informacion]","[IF].[informacion].&amp;["&amp;E$9&amp;"]","[IF].[cuenta_ppto]","[IF].[cuenta_ppto].&amp;["&amp;$A58&amp;"]"),0)</f>
        <v>17.174579999999999</v>
      </c>
      <c r="F58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58&amp;"]"),0)</f>
        <v>0</v>
      </c>
      <c r="G58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58&amp;"]"),0)</f>
        <v>0</v>
      </c>
      <c r="H58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58&amp;"]"),0)</f>
        <v>0</v>
      </c>
      <c r="I58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58&amp;"]"),0)</f>
        <v>0</v>
      </c>
      <c r="J58" s="11"/>
      <c r="K58" s="11"/>
      <c r="L58" s="3">
        <f t="shared" si="13"/>
        <v>20.152836000000001</v>
      </c>
      <c r="N58" s="3">
        <f t="shared" si="14"/>
        <v>20.152836000000001</v>
      </c>
    </row>
    <row r="59" spans="1:14" hidden="1" outlineLevel="1" x14ac:dyDescent="0.25">
      <c r="A59" t="s">
        <v>156</v>
      </c>
      <c r="B59" t="s">
        <v>191</v>
      </c>
      <c r="C59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59&amp;"]"),0)</f>
        <v>0</v>
      </c>
      <c r="D59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59&amp;"]"),0)-E59</f>
        <v>1.8349200000000003</v>
      </c>
      <c r="E59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valor]",base!$AW$5,"[IF].[mes]","[IF].[mes].&amp;["&amp;E$8&amp;"]","[IF].[ano]","[IF].[ano].&amp;["&amp;E$7&amp;"]","[IF].[informacion]","[IF].[informacion].&amp;["&amp;E$9&amp;"]","[IF].[cuenta_ppto]","[IF].[cuenta_ppto].&amp;["&amp;$A59&amp;"]"),0)</f>
        <v>10.581336</v>
      </c>
      <c r="F59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59&amp;"]"),0)</f>
        <v>0</v>
      </c>
      <c r="G59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59&amp;"]"),0)</f>
        <v>0</v>
      </c>
      <c r="H59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59&amp;"]"),0)</f>
        <v>0</v>
      </c>
      <c r="I59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59&amp;"]"),0)</f>
        <v>0</v>
      </c>
      <c r="J59" s="11"/>
      <c r="K59" s="11"/>
      <c r="L59" s="3">
        <f t="shared" si="13"/>
        <v>12.416256000000001</v>
      </c>
      <c r="N59" s="3">
        <f t="shared" si="14"/>
        <v>12.416256000000001</v>
      </c>
    </row>
    <row r="60" spans="1:14" hidden="1" outlineLevel="1" x14ac:dyDescent="0.25">
      <c r="A60" t="s">
        <v>157</v>
      </c>
      <c r="B60" t="s">
        <v>192</v>
      </c>
      <c r="C60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60&amp;"]"),0)</f>
        <v>0</v>
      </c>
      <c r="D60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60&amp;"]"),0)-E60</f>
        <v>9.4074519999999975</v>
      </c>
      <c r="E60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valor]",base!$AW$5,"[IF].[mes]","[IF].[mes].&amp;["&amp;E$8&amp;"]","[IF].[ano]","[IF].[ano].&amp;["&amp;E$7&amp;"]","[IF].[informacion]","[IF].[informacion].&amp;["&amp;E$9&amp;"]","[IF].[cuenta_ppto]","[IF].[cuenta_ppto].&amp;["&amp;$A60&amp;"]"),0)</f>
        <v>14.010422</v>
      </c>
      <c r="F60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60&amp;"]"),0)</f>
        <v>0</v>
      </c>
      <c r="G60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60&amp;"]"),0)</f>
        <v>0</v>
      </c>
      <c r="H60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60&amp;"]"),0)</f>
        <v>0</v>
      </c>
      <c r="I60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60&amp;"]"),0)</f>
        <v>16.596428</v>
      </c>
      <c r="J60" s="11"/>
      <c r="K60" s="11"/>
      <c r="L60" s="3">
        <f t="shared" si="13"/>
        <v>40.014302000000001</v>
      </c>
      <c r="N60" s="3">
        <f t="shared" si="14"/>
        <v>40.014302000000001</v>
      </c>
    </row>
    <row r="61" spans="1:14" hidden="1" outlineLevel="1" x14ac:dyDescent="0.25">
      <c r="A61" t="s">
        <v>158</v>
      </c>
      <c r="B61" t="s">
        <v>193</v>
      </c>
      <c r="C61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61&amp;"]"),0)</f>
        <v>0</v>
      </c>
      <c r="D61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61&amp;"]"),0)-E61</f>
        <v>7.6124999999999998</v>
      </c>
      <c r="E61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valor]",base!$AW$5,"[IF].[mes]","[IF].[mes].&amp;["&amp;E$8&amp;"]","[IF].[ano]","[IF].[ano].&amp;["&amp;E$7&amp;"]","[IF].[informacion]","[IF].[informacion].&amp;["&amp;E$9&amp;"]","[IF].[cuenta_ppto]","[IF].[cuenta_ppto].&amp;["&amp;$A61&amp;"]"),0)</f>
        <v>0.15</v>
      </c>
      <c r="F61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61&amp;"]"),0)</f>
        <v>0</v>
      </c>
      <c r="G61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61&amp;"]"),0)</f>
        <v>0</v>
      </c>
      <c r="H61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61&amp;"]"),0)</f>
        <v>0</v>
      </c>
      <c r="I61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61&amp;"]"),0)</f>
        <v>0</v>
      </c>
      <c r="J61" s="11"/>
      <c r="K61" s="11"/>
      <c r="L61" s="3">
        <f t="shared" si="13"/>
        <v>7.7625000000000002</v>
      </c>
      <c r="N61" s="3">
        <f t="shared" si="14"/>
        <v>7.7625000000000002</v>
      </c>
    </row>
    <row r="62" spans="1:14" hidden="1" outlineLevel="1" x14ac:dyDescent="0.25">
      <c r="A62" t="s">
        <v>159</v>
      </c>
      <c r="B62" t="s">
        <v>194</v>
      </c>
      <c r="C62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62&amp;"]"),0)</f>
        <v>0</v>
      </c>
      <c r="D62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62&amp;"]"),0)-E62</f>
        <v>4.9655060000000013</v>
      </c>
      <c r="E62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valor]",base!$AW$5,"[IF].[mes]","[IF].[mes].&amp;["&amp;E$8&amp;"]","[IF].[ano]","[IF].[ano].&amp;["&amp;E$7&amp;"]","[IF].[informacion]","[IF].[informacion].&amp;["&amp;E$9&amp;"]","[IF].[cuenta_ppto]","[IF].[cuenta_ppto].&amp;["&amp;$A62&amp;"]"),0)</f>
        <v>8.6306030000000007</v>
      </c>
      <c r="F62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62&amp;"]"),0)</f>
        <v>0</v>
      </c>
      <c r="G62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62&amp;"]"),0)</f>
        <v>0</v>
      </c>
      <c r="H62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62&amp;"]"),0)</f>
        <v>0</v>
      </c>
      <c r="I62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62&amp;"]"),0)</f>
        <v>0</v>
      </c>
      <c r="J62" s="11"/>
      <c r="K62" s="11"/>
      <c r="L62" s="3">
        <f t="shared" si="13"/>
        <v>13.596109000000002</v>
      </c>
      <c r="N62" s="3">
        <f t="shared" si="14"/>
        <v>13.596109000000002</v>
      </c>
    </row>
    <row r="63" spans="1:14" hidden="1" outlineLevel="1" x14ac:dyDescent="0.25">
      <c r="A63" t="s">
        <v>160</v>
      </c>
      <c r="B63" t="s">
        <v>195</v>
      </c>
      <c r="C63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63&amp;"]"),0)</f>
        <v>0</v>
      </c>
      <c r="D63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63&amp;"]"),0)-E63</f>
        <v>10.874987000000004</v>
      </c>
      <c r="E63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valor]",base!$AW$5,"[IF].[mes]","[IF].[mes].&amp;["&amp;E$8&amp;"]","[IF].[ano]","[IF].[ano].&amp;["&amp;E$7&amp;"]","[IF].[informacion]","[IF].[informacion].&amp;["&amp;E$9&amp;"]","[IF].[cuenta_ppto]","[IF].[cuenta_ppto].&amp;["&amp;$A63&amp;"]"),0)</f>
        <v>57.124009999999998</v>
      </c>
      <c r="F63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63&amp;"]"),0)</f>
        <v>0</v>
      </c>
      <c r="G63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63&amp;"]"),0)</f>
        <v>0</v>
      </c>
      <c r="H63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63&amp;"]"),0)</f>
        <v>0</v>
      </c>
      <c r="I63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63&amp;"]"),0)</f>
        <v>59.033280999999988</v>
      </c>
      <c r="J63" s="11"/>
      <c r="K63" s="11"/>
      <c r="L63" s="3">
        <f t="shared" si="13"/>
        <v>127.03227799999999</v>
      </c>
      <c r="N63" s="3">
        <f t="shared" si="14"/>
        <v>127.03227799999999</v>
      </c>
    </row>
    <row r="64" spans="1:14" hidden="1" outlineLevel="1" x14ac:dyDescent="0.25">
      <c r="A64" t="s">
        <v>161</v>
      </c>
      <c r="B64" t="s">
        <v>196</v>
      </c>
      <c r="C64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64&amp;"]"),0)</f>
        <v>0</v>
      </c>
      <c r="D64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64&amp;"]"),0)-E64</f>
        <v>0</v>
      </c>
      <c r="E64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valor]",base!$AW$5,"[IF].[mes]","[IF].[mes].&amp;["&amp;E$8&amp;"]","[IF].[ano]","[IF].[ano].&amp;["&amp;E$7&amp;"]","[IF].[informacion]","[IF].[informacion].&amp;["&amp;E$9&amp;"]","[IF].[cuenta_ppto]","[IF].[cuenta_ppto].&amp;["&amp;$A64&amp;"]"),0)</f>
        <v>0</v>
      </c>
      <c r="F64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64&amp;"]"),0)</f>
        <v>0</v>
      </c>
      <c r="G64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64&amp;"]"),0)</f>
        <v>0</v>
      </c>
      <c r="H64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64&amp;"]"),0)</f>
        <v>0</v>
      </c>
      <c r="I64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64&amp;"]"),0)</f>
        <v>0</v>
      </c>
      <c r="J64" s="11"/>
      <c r="K64" s="11"/>
      <c r="L64" s="3">
        <f t="shared" si="13"/>
        <v>0</v>
      </c>
      <c r="N64" s="3">
        <f t="shared" si="14"/>
        <v>0</v>
      </c>
    </row>
    <row r="65" spans="1:14" hidden="1" outlineLevel="1" x14ac:dyDescent="0.25">
      <c r="A65" t="s">
        <v>162</v>
      </c>
      <c r="B65" t="s">
        <v>197</v>
      </c>
      <c r="C65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65&amp;"]"),0)</f>
        <v>0</v>
      </c>
      <c r="D65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65&amp;"]"),0)-E65</f>
        <v>0</v>
      </c>
      <c r="E65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valor]",base!$AW$5,"[IF].[mes]","[IF].[mes].&amp;["&amp;E$8&amp;"]","[IF].[ano]","[IF].[ano].&amp;["&amp;E$7&amp;"]","[IF].[informacion]","[IF].[informacion].&amp;["&amp;E$9&amp;"]","[IF].[cuenta_ppto]","[IF].[cuenta_ppto].&amp;["&amp;$A65&amp;"]"),0)</f>
        <v>0</v>
      </c>
      <c r="F65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65&amp;"]"),0)</f>
        <v>0</v>
      </c>
      <c r="G65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65&amp;"]"),0)</f>
        <v>0</v>
      </c>
      <c r="H65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65&amp;"]"),0)</f>
        <v>0</v>
      </c>
      <c r="I65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65&amp;"]"),0)</f>
        <v>0</v>
      </c>
      <c r="J65" s="11"/>
      <c r="K65" s="11"/>
      <c r="L65" s="3">
        <f t="shared" si="13"/>
        <v>0</v>
      </c>
      <c r="N65" s="3">
        <f t="shared" si="14"/>
        <v>0</v>
      </c>
    </row>
    <row r="66" spans="1:14" hidden="1" outlineLevel="1" x14ac:dyDescent="0.25">
      <c r="A66" t="s">
        <v>163</v>
      </c>
      <c r="B66" t="s">
        <v>198</v>
      </c>
      <c r="C66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66&amp;"]"),0)</f>
        <v>0</v>
      </c>
      <c r="D66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66&amp;"]"),0)-E66</f>
        <v>94.632836559999987</v>
      </c>
      <c r="E66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valor]",base!$AW$5,"[IF].[mes]","[IF].[mes].&amp;["&amp;E$8&amp;"]","[IF].[ano]","[IF].[ano].&amp;["&amp;E$7&amp;"]","[IF].[informacion]","[IF].[informacion].&amp;["&amp;E$9&amp;"]","[IF].[cuenta_ppto]","[IF].[cuenta_ppto].&amp;["&amp;$A66&amp;"]"),0)</f>
        <v>218.73404483000002</v>
      </c>
      <c r="F66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66&amp;"]"),0)</f>
        <v>0</v>
      </c>
      <c r="G66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66&amp;"]"),0)</f>
        <v>0</v>
      </c>
      <c r="H66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66&amp;"]"),0)</f>
        <v>0</v>
      </c>
      <c r="I66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66&amp;"]"),0)</f>
        <v>0</v>
      </c>
      <c r="J66" s="11"/>
      <c r="K66" s="11"/>
      <c r="L66" s="124">
        <f t="shared" si="13"/>
        <v>313.36688139</v>
      </c>
      <c r="N66" s="124">
        <f>(L66+L51)-(L23+L35)</f>
        <v>277.55218638999997</v>
      </c>
    </row>
    <row r="67" spans="1:14" x14ac:dyDescent="0.25">
      <c r="B67" t="s">
        <v>204</v>
      </c>
      <c r="C67" s="9">
        <f>IFERROR(GETPIVOTDATA("[Measures].[Suma de valor]",base!$A$3,"[IF].[departamento_jerarquia2]","[IF].[departamento_jerarquia2].&amp;["&amp;C$5&amp;"]","[IF].[grupo_analisis]","[IF].[grupo_analisis].&amp;["&amp;$B67&amp;"]","[IF].[mes]","[IF].[mes].&amp;["&amp;C$8&amp;"]","[IF].[ano]","[IF].[ano].&amp;["&amp;C$7&amp;"]","[IF].[informacion]","[IF].[informacion].&amp;["&amp;C$9&amp;"]"),0)</f>
        <v>0</v>
      </c>
      <c r="D67" s="9">
        <f>IFERROR(GETPIVOTDATA("[Measures].[Suma de valor]",base!$A$3,"[IF].[departamento_jerarquia2]","[IF].[departamento_jerarquia2].&amp;["&amp;D$5&amp;"]","[IF].[grupo_analisis]","[IF].[grupo_analisis].&amp;["&amp;$B67&amp;"]","[IF].[mes]","[IF].[mes].&amp;["&amp;D$8&amp;"]","[IF].[ano]","[IF].[ano].&amp;["&amp;D$7&amp;"]","[IF].[informacion]","[IF].[informacion].&amp;["&amp;D$9&amp;"]"),0)-E67</f>
        <v>0</v>
      </c>
      <c r="E67" s="9">
        <f>IFERROR(GETPIVOTDATA("[Measures].[Suma de valor]",base!$AN$5,"[IF].[grupo_analisis]","[IF].[grupo_analisis].&amp;["&amp;$B67&amp;"]","[IF].[mes]","[IF].[mes].&amp;["&amp;E$8&amp;"]","[IF].[ano]","[IF].[ano].&amp;["&amp;E$7&amp;"]","[IF].[informacion]","[IF].[informacion].&amp;["&amp;E$9&amp;"]"),0)</f>
        <v>0</v>
      </c>
      <c r="F67" s="9">
        <f>IFERROR(GETPIVOTDATA("[Measures].[Suma de valor]",base!$A$3,"[IF].[departamento_jerarquia2]","[IF].[departamento_jerarquia2].&amp;["&amp;F$5&amp;"]","[IF].[grupo_analisis]","[IF].[grupo_analisis].&amp;["&amp;$B67&amp;"]","[IF].[mes]","[IF].[mes].&amp;["&amp;F$8&amp;"]","[IF].[ano]","[IF].[ano].&amp;["&amp;F$7&amp;"]","[IF].[informacion]","[IF].[informacion].&amp;["&amp;F$9&amp;"]"),0)</f>
        <v>0</v>
      </c>
      <c r="G67" s="9">
        <f>IFERROR(GETPIVOTDATA("[Measures].[Suma de valor]",base!$A$3,"[IF].[departamento_jerarquia2]","[IF].[departamento_jerarquia2].&amp;["&amp;G$5&amp;"]","[IF].[grupo_analisis]","[IF].[grupo_analisis].&amp;["&amp;$B67&amp;"]","[IF].[mes]","[IF].[mes].&amp;["&amp;G$8&amp;"]","[IF].[ano]","[IF].[ano].&amp;["&amp;G$7&amp;"]","[IF].[informacion]","[IF].[informacion].&amp;["&amp;G$9&amp;"]"),0)</f>
        <v>0</v>
      </c>
      <c r="H67" s="9">
        <f>IFERROR(GETPIVOTDATA("[Measures].[Suma de valor]",base!$A$3,"[IF].[departamento_jerarquia2]","[IF].[departamento_jerarquia2].&amp;["&amp;H$5&amp;"]","[IF].[grupo_analisis]","[IF].[grupo_analisis].&amp;["&amp;$B67&amp;"]","[IF].[mes]","[IF].[mes].&amp;["&amp;H$8&amp;"]","[IF].[ano]","[IF].[ano].&amp;["&amp;H$7&amp;"]","[IF].[informacion]","[IF].[informacion].&amp;["&amp;H$9&amp;"]"),0)</f>
        <v>0</v>
      </c>
      <c r="I67" s="9">
        <f>IFERROR(GETPIVOTDATA("[Measures].[Suma de valor]",base!$A$3,"[IF].[departamento_jerarquia2]","[IF].[departamento_jerarquia2].&amp;["&amp;I$5&amp;"]","[IF].[grupo_analisis]","[IF].[grupo_analisis].&amp;["&amp;$B67&amp;"]","[IF].[mes]","[IF].[mes].&amp;["&amp;I$8&amp;"]","[IF].[ano]","[IF].[ano].&amp;["&amp;I$7&amp;"]","[IF].[informacion]","[IF].[informacion].&amp;["&amp;I$9&amp;"]"),0)</f>
        <v>0</v>
      </c>
      <c r="J67" s="9"/>
      <c r="K67" s="9"/>
      <c r="L67" s="12">
        <f t="shared" si="13"/>
        <v>0</v>
      </c>
      <c r="N67" s="12">
        <f t="shared" ref="N67:N72" si="15">L67</f>
        <v>0</v>
      </c>
    </row>
    <row r="68" spans="1:14" x14ac:dyDescent="0.25">
      <c r="B68" t="s">
        <v>205</v>
      </c>
      <c r="C68" s="9">
        <f>IFERROR(GETPIVOTDATA("[Measures].[Suma de valor]",base!$A$3,"[IF].[departamento_jerarquia2]","[IF].[departamento_jerarquia2].&amp;["&amp;C$5&amp;"]","[IF].[grupo_analisis]","[IF].[grupo_analisis].&amp;["&amp;$B68&amp;"]","[IF].[mes]","[IF].[mes].&amp;["&amp;C$8&amp;"]","[IF].[ano]","[IF].[ano].&amp;["&amp;C$7&amp;"]","[IF].[informacion]","[IF].[informacion].&amp;["&amp;C$9&amp;"]"),0)</f>
        <v>0</v>
      </c>
      <c r="D68" s="9">
        <f>IFERROR(GETPIVOTDATA("[Measures].[Suma de valor]",base!$A$3,"[IF].[departamento_jerarquia2]","[IF].[departamento_jerarquia2].&amp;["&amp;D$5&amp;"]","[IF].[grupo_analisis]","[IF].[grupo_analisis].&amp;["&amp;$B68&amp;"]","[IF].[mes]","[IF].[mes].&amp;["&amp;D$8&amp;"]","[IF].[ano]","[IF].[ano].&amp;["&amp;D$7&amp;"]","[IF].[informacion]","[IF].[informacion].&amp;["&amp;D$9&amp;"]"),0)-E68</f>
        <v>1.5233360000000005</v>
      </c>
      <c r="E68" s="9">
        <f>IFERROR(GETPIVOTDATA("[Measures].[Suma de valor]",base!$AN$5,"[IF].[grupo_analisis]","[IF].[grupo_analisis].&amp;["&amp;$B68&amp;"]","[IF].[mes]","[IF].[mes].&amp;["&amp;E$8&amp;"]","[IF].[ano]","[IF].[ano].&amp;["&amp;E$7&amp;"]","[IF].[informacion]","[IF].[informacion].&amp;["&amp;E$9&amp;"]"),0)</f>
        <v>7.8683779999999999</v>
      </c>
      <c r="F68" s="9">
        <f>IFERROR(GETPIVOTDATA("[Measures].[Suma de valor]",base!$A$3,"[IF].[departamento_jerarquia2]","[IF].[departamento_jerarquia2].&amp;["&amp;F$5&amp;"]","[IF].[grupo_analisis]","[IF].[grupo_analisis].&amp;["&amp;$B68&amp;"]","[IF].[mes]","[IF].[mes].&amp;["&amp;F$8&amp;"]","[IF].[ano]","[IF].[ano].&amp;["&amp;F$7&amp;"]","[IF].[informacion]","[IF].[informacion].&amp;["&amp;F$9&amp;"]"),0)</f>
        <v>-0.49144500000000002</v>
      </c>
      <c r="G68" s="9">
        <f>IFERROR(GETPIVOTDATA("[Measures].[Suma de valor]",base!$A$3,"[IF].[departamento_jerarquia2]","[IF].[departamento_jerarquia2].&amp;["&amp;G$5&amp;"]","[IF].[grupo_analisis]","[IF].[grupo_analisis].&amp;["&amp;$B68&amp;"]","[IF].[mes]","[IF].[mes].&amp;["&amp;G$8&amp;"]","[IF].[ano]","[IF].[ano].&amp;["&amp;G$7&amp;"]","[IF].[informacion]","[IF].[informacion].&amp;["&amp;G$9&amp;"]"),0)</f>
        <v>0</v>
      </c>
      <c r="H68" s="9">
        <f>IFERROR(GETPIVOTDATA("[Measures].[Suma de valor]",base!$A$3,"[IF].[departamento_jerarquia2]","[IF].[departamento_jerarquia2].&amp;["&amp;H$5&amp;"]","[IF].[grupo_analisis]","[IF].[grupo_analisis].&amp;["&amp;$B68&amp;"]","[IF].[mes]","[IF].[mes].&amp;["&amp;H$8&amp;"]","[IF].[ano]","[IF].[ano].&amp;["&amp;H$7&amp;"]","[IF].[informacion]","[IF].[informacion].&amp;["&amp;H$9&amp;"]"),0)</f>
        <v>0</v>
      </c>
      <c r="I68" s="9">
        <f>IFERROR(GETPIVOTDATA("[Measures].[Suma de valor]",base!$A$3,"[IF].[departamento_jerarquia2]","[IF].[departamento_jerarquia2].&amp;["&amp;I$5&amp;"]","[IF].[grupo_analisis]","[IF].[grupo_analisis].&amp;["&amp;$B68&amp;"]","[IF].[mes]","[IF].[mes].&amp;["&amp;I$8&amp;"]","[IF].[ano]","[IF].[ano].&amp;["&amp;I$7&amp;"]","[IF].[informacion]","[IF].[informacion].&amp;["&amp;I$9&amp;"]"),0)</f>
        <v>6.8612737900000003</v>
      </c>
      <c r="J68" s="9"/>
      <c r="K68" s="9"/>
      <c r="L68" s="12">
        <f t="shared" si="13"/>
        <v>15.76154279</v>
      </c>
      <c r="N68" s="12">
        <f t="shared" si="15"/>
        <v>15.76154279</v>
      </c>
    </row>
    <row r="69" spans="1:14" x14ac:dyDescent="0.25">
      <c r="B69" t="s">
        <v>115</v>
      </c>
      <c r="C69" s="9">
        <f>IFERROR(GETPIVOTDATA("[Measures].[Suma de valor]",base!$A$3,"[IF].[departamento_jerarquia2]","[IF].[departamento_jerarquia2].&amp;["&amp;C$5&amp;"]","[IF].[grupo_analisis]","[IF].[grupo_analisis].&amp;["&amp;$B69&amp;"]","[IF].[mes]","[IF].[mes].&amp;["&amp;C$8&amp;"]","[IF].[ano]","[IF].[ano].&amp;["&amp;C$7&amp;"]","[IF].[informacion]","[IF].[informacion].&amp;["&amp;C$9&amp;"]"),0)</f>
        <v>0</v>
      </c>
      <c r="D69" s="9">
        <f>IFERROR(GETPIVOTDATA("[Measures].[Suma de valor]",base!$A$3,"[IF].[departamento_jerarquia2]","[IF].[departamento_jerarquia2].&amp;["&amp;D$5&amp;"]","[IF].[grupo_analisis]","[IF].[grupo_analisis].&amp;["&amp;$B69&amp;"]","[IF].[mes]","[IF].[mes].&amp;["&amp;D$8&amp;"]","[IF].[ano]","[IF].[ano].&amp;["&amp;D$7&amp;"]","[IF].[informacion]","[IF].[informacion].&amp;["&amp;D$9&amp;"]"),0)-E69</f>
        <v>0</v>
      </c>
      <c r="E69" s="9">
        <f>IFERROR(GETPIVOTDATA("[Measures].[Suma de valor]",base!$AN$5,"[IF].[grupo_analisis]","[IF].[grupo_analisis].&amp;["&amp;$B69&amp;"]","[IF].[mes]","[IF].[mes].&amp;["&amp;E$8&amp;"]","[IF].[ano]","[IF].[ano].&amp;["&amp;E$7&amp;"]","[IF].[informacion]","[IF].[informacion].&amp;["&amp;E$9&amp;"]"),0)</f>
        <v>0</v>
      </c>
      <c r="F69" s="9">
        <f>IFERROR(GETPIVOTDATA("[Measures].[Suma de valor]",base!$A$3,"[IF].[departamento_jerarquia2]","[IF].[departamento_jerarquia2].&amp;["&amp;F$5&amp;"]","[IF].[grupo_analisis]","[IF].[grupo_analisis].&amp;["&amp;$B69&amp;"]","[IF].[mes]","[IF].[mes].&amp;["&amp;F$8&amp;"]","[IF].[ano]","[IF].[ano].&amp;["&amp;F$7&amp;"]","[IF].[informacion]","[IF].[informacion].&amp;["&amp;F$9&amp;"]"),0)</f>
        <v>0</v>
      </c>
      <c r="G69" s="9">
        <f>IFERROR(GETPIVOTDATA("[Measures].[Suma de valor]",base!$A$3,"[IF].[departamento_jerarquia2]","[IF].[departamento_jerarquia2].&amp;["&amp;G$5&amp;"]","[IF].[grupo_analisis]","[IF].[grupo_analisis].&amp;["&amp;$B69&amp;"]","[IF].[mes]","[IF].[mes].&amp;["&amp;G$8&amp;"]","[IF].[ano]","[IF].[ano].&amp;["&amp;G$7&amp;"]","[IF].[informacion]","[IF].[informacion].&amp;["&amp;G$9&amp;"]"),0)</f>
        <v>0</v>
      </c>
      <c r="H69" s="9">
        <f>IFERROR(GETPIVOTDATA("[Measures].[Suma de valor]",base!$A$3,"[IF].[departamento_jerarquia2]","[IF].[departamento_jerarquia2].&amp;["&amp;H$5&amp;"]","[IF].[grupo_analisis]","[IF].[grupo_analisis].&amp;["&amp;$B69&amp;"]","[IF].[mes]","[IF].[mes].&amp;["&amp;H$8&amp;"]","[IF].[ano]","[IF].[ano].&amp;["&amp;H$7&amp;"]","[IF].[informacion]","[IF].[informacion].&amp;["&amp;H$9&amp;"]"),0)</f>
        <v>0</v>
      </c>
      <c r="I69" s="9">
        <f>IFERROR(GETPIVOTDATA("[Measures].[Suma de valor]",base!$A$3,"[IF].[departamento_jerarquia2]","[IF].[departamento_jerarquia2].&amp;["&amp;I$5&amp;"]","[IF].[grupo_analisis]","[IF].[grupo_analisis].&amp;["&amp;$B69&amp;"]","[IF].[mes]","[IF].[mes].&amp;["&amp;I$8&amp;"]","[IF].[ano]","[IF].[ano].&amp;["&amp;I$7&amp;"]","[IF].[informacion]","[IF].[informacion].&amp;["&amp;I$9&amp;"]"),0)</f>
        <v>2.0448</v>
      </c>
      <c r="J69" s="9"/>
      <c r="K69" s="9"/>
      <c r="L69" s="12">
        <f t="shared" si="13"/>
        <v>2.0448</v>
      </c>
      <c r="N69" s="12">
        <f t="shared" si="15"/>
        <v>2.0448</v>
      </c>
    </row>
    <row r="70" spans="1:14" x14ac:dyDescent="0.25">
      <c r="B70" t="s">
        <v>103</v>
      </c>
      <c r="C70" s="9">
        <f>IFERROR(GETPIVOTDATA("[Measures].[Suma de valor]",base!$A$3,"[IF].[departamento_jerarquia2]","[IF].[departamento_jerarquia2].&amp;["&amp;C$5&amp;"]","[IF].[grupo_analisis]","[IF].[grupo_analisis].&amp;["&amp;$B70&amp;"]","[IF].[mes]","[IF].[mes].&amp;["&amp;C$8&amp;"]","[IF].[ano]","[IF].[ano].&amp;["&amp;C$7&amp;"]","[IF].[informacion]","[IF].[informacion].&amp;["&amp;C$9&amp;"]"),0)</f>
        <v>0</v>
      </c>
      <c r="D70" s="9">
        <f>IFERROR(GETPIVOTDATA("[Measures].[Suma de valor]",base!$A$3,"[IF].[departamento_jerarquia2]","[IF].[departamento_jerarquia2].&amp;["&amp;D$5&amp;"]","[IF].[grupo_analisis]","[IF].[grupo_analisis].&amp;["&amp;$B70&amp;"]","[IF].[mes]","[IF].[mes].&amp;["&amp;D$8&amp;"]","[IF].[ano]","[IF].[ano].&amp;["&amp;D$7&amp;"]","[IF].[informacion]","[IF].[informacion].&amp;["&amp;D$9&amp;"]"),0)-E70</f>
        <v>0</v>
      </c>
      <c r="E70" s="9">
        <f>IFERROR(GETPIVOTDATA("[Measures].[Suma de valor]",base!$AN$5,"[IF].[grupo_analisis]","[IF].[grupo_analisis].&amp;["&amp;$B70&amp;"]","[IF].[mes]","[IF].[mes].&amp;["&amp;E$8&amp;"]","[IF].[ano]","[IF].[ano].&amp;["&amp;E$7&amp;"]","[IF].[informacion]","[IF].[informacion].&amp;["&amp;E$9&amp;"]"),0)</f>
        <v>0</v>
      </c>
      <c r="F70" s="9">
        <f>IFERROR(GETPIVOTDATA("[Measures].[Suma de valor]",base!$A$3,"[IF].[departamento_jerarquia2]","[IF].[departamento_jerarquia2].&amp;["&amp;F$5&amp;"]","[IF].[grupo_analisis]","[IF].[grupo_analisis].&amp;["&amp;$B70&amp;"]","[IF].[mes]","[IF].[mes].&amp;["&amp;F$8&amp;"]","[IF].[ano]","[IF].[ano].&amp;["&amp;F$7&amp;"]","[IF].[informacion]","[IF].[informacion].&amp;["&amp;F$9&amp;"]"),0)</f>
        <v>0</v>
      </c>
      <c r="G70" s="9">
        <f>IFERROR(GETPIVOTDATA("[Measures].[Suma de valor]",base!$A$3,"[IF].[departamento_jerarquia2]","[IF].[departamento_jerarquia2].&amp;["&amp;G$5&amp;"]","[IF].[grupo_analisis]","[IF].[grupo_analisis].&amp;["&amp;$B70&amp;"]","[IF].[mes]","[IF].[mes].&amp;["&amp;G$8&amp;"]","[IF].[ano]","[IF].[ano].&amp;["&amp;G$7&amp;"]","[IF].[informacion]","[IF].[informacion].&amp;["&amp;G$9&amp;"]"),0)</f>
        <v>0</v>
      </c>
      <c r="H70" s="9">
        <f>IFERROR(GETPIVOTDATA("[Measures].[Suma de valor]",base!$A$3,"[IF].[departamento_jerarquia2]","[IF].[departamento_jerarquia2].&amp;["&amp;H$5&amp;"]","[IF].[grupo_analisis]","[IF].[grupo_analisis].&amp;["&amp;$B70&amp;"]","[IF].[mes]","[IF].[mes].&amp;["&amp;H$8&amp;"]","[IF].[ano]","[IF].[ano].&amp;["&amp;H$7&amp;"]","[IF].[informacion]","[IF].[informacion].&amp;["&amp;H$9&amp;"]"),0)</f>
        <v>0</v>
      </c>
      <c r="I70" s="9">
        <f>IFERROR(GETPIVOTDATA("[Measures].[Suma de valor]",base!$A$3,"[IF].[departamento_jerarquia2]","[IF].[departamento_jerarquia2].&amp;["&amp;I$5&amp;"]","[IF].[grupo_analisis]","[IF].[grupo_analisis].&amp;["&amp;$B70&amp;"]","[IF].[mes]","[IF].[mes].&amp;["&amp;I$8&amp;"]","[IF].[ano]","[IF].[ano].&amp;["&amp;I$7&amp;"]","[IF].[informacion]","[IF].[informacion].&amp;["&amp;I$9&amp;"]"),0)</f>
        <v>0</v>
      </c>
      <c r="J70" s="9"/>
      <c r="K70" s="9"/>
      <c r="L70" s="12">
        <f t="shared" si="13"/>
        <v>0</v>
      </c>
      <c r="N70" s="12">
        <f t="shared" si="15"/>
        <v>0</v>
      </c>
    </row>
    <row r="71" spans="1:14" x14ac:dyDescent="0.25">
      <c r="B71" t="s">
        <v>206</v>
      </c>
      <c r="C71" s="9">
        <f>IFERROR(GETPIVOTDATA("[Measures].[Suma de valor]",base!$A$3,"[IF].[departamento_jerarquia2]","[IF].[departamento_jerarquia2].&amp;["&amp;C$5&amp;"]","[IF].[grupo_analisis]","[IF].[grupo_analisis].&amp;["&amp;$B71&amp;"]","[IF].[mes]","[IF].[mes].&amp;["&amp;C$8&amp;"]","[IF].[ano]","[IF].[ano].&amp;["&amp;C$7&amp;"]","[IF].[informacion]","[IF].[informacion].&amp;["&amp;C$9&amp;"]"),0)</f>
        <v>0</v>
      </c>
      <c r="D71" s="9">
        <f>IFERROR(GETPIVOTDATA("[Measures].[Suma de valor]",base!$A$3,"[IF].[departamento_jerarquia2]","[IF].[departamento_jerarquia2].&amp;["&amp;D$5&amp;"]","[IF].[grupo_analisis]","[IF].[grupo_analisis].&amp;["&amp;$B71&amp;"]","[IF].[mes]","[IF].[mes].&amp;["&amp;D$8&amp;"]","[IF].[ano]","[IF].[ano].&amp;["&amp;D$7&amp;"]","[IF].[informacion]","[IF].[informacion].&amp;["&amp;D$9&amp;"]"),0)-E71</f>
        <v>0</v>
      </c>
      <c r="E71" s="9">
        <f>IFERROR(GETPIVOTDATA("[Measures].[Suma de valor]",base!$AN$5,"[IF].[grupo_analisis]","[IF].[grupo_analisis].&amp;["&amp;$B71&amp;"]","[IF].[mes]","[IF].[mes].&amp;["&amp;E$8&amp;"]","[IF].[ano]","[IF].[ano].&amp;["&amp;E$7&amp;"]","[IF].[informacion]","[IF].[informacion].&amp;["&amp;E$9&amp;"]"),0)</f>
        <v>0</v>
      </c>
      <c r="F71" s="9">
        <f>IFERROR(GETPIVOTDATA("[Measures].[Suma de valor]",base!$A$3,"[IF].[departamento_jerarquia2]","[IF].[departamento_jerarquia2].&amp;["&amp;F$5&amp;"]","[IF].[grupo_analisis]","[IF].[grupo_analisis].&amp;["&amp;$B71&amp;"]","[IF].[mes]","[IF].[mes].&amp;["&amp;F$8&amp;"]","[IF].[ano]","[IF].[ano].&amp;["&amp;F$7&amp;"]","[IF].[informacion]","[IF].[informacion].&amp;["&amp;F$9&amp;"]"),0)</f>
        <v>0</v>
      </c>
      <c r="G71" s="9">
        <f>IFERROR(GETPIVOTDATA("[Measures].[Suma de valor]",base!$A$3,"[IF].[departamento_jerarquia2]","[IF].[departamento_jerarquia2].&amp;["&amp;G$5&amp;"]","[IF].[grupo_analisis]","[IF].[grupo_analisis].&amp;["&amp;$B71&amp;"]","[IF].[mes]","[IF].[mes].&amp;["&amp;G$8&amp;"]","[IF].[ano]","[IF].[ano].&amp;["&amp;G$7&amp;"]","[IF].[informacion]","[IF].[informacion].&amp;["&amp;G$9&amp;"]"),0)</f>
        <v>0</v>
      </c>
      <c r="H71" s="9">
        <f>IFERROR(GETPIVOTDATA("[Measures].[Suma de valor]",base!$A$3,"[IF].[departamento_jerarquia2]","[IF].[departamento_jerarquia2].&amp;["&amp;H$5&amp;"]","[IF].[grupo_analisis]","[IF].[grupo_analisis].&amp;["&amp;$B71&amp;"]","[IF].[mes]","[IF].[mes].&amp;["&amp;H$8&amp;"]","[IF].[ano]","[IF].[ano].&amp;["&amp;H$7&amp;"]","[IF].[informacion]","[IF].[informacion].&amp;["&amp;H$9&amp;"]"),0)</f>
        <v>0</v>
      </c>
      <c r="I71" s="9">
        <f>IFERROR(GETPIVOTDATA("[Measures].[Suma de valor]",base!$A$3,"[IF].[departamento_jerarquia2]","[IF].[departamento_jerarquia2].&amp;["&amp;I$5&amp;"]","[IF].[grupo_analisis]","[IF].[grupo_analisis].&amp;["&amp;$B71&amp;"]","[IF].[mes]","[IF].[mes].&amp;["&amp;I$8&amp;"]","[IF].[ano]","[IF].[ano].&amp;["&amp;I$7&amp;"]","[IF].[informacion]","[IF].[informacion].&amp;["&amp;I$9&amp;"]"),0)</f>
        <v>0</v>
      </c>
      <c r="J71" s="9"/>
      <c r="K71" s="9"/>
      <c r="L71" s="12">
        <f t="shared" si="13"/>
        <v>0</v>
      </c>
      <c r="N71" s="12">
        <f t="shared" si="15"/>
        <v>0</v>
      </c>
    </row>
    <row r="72" spans="1:14" x14ac:dyDescent="0.25">
      <c r="B72" t="s">
        <v>102</v>
      </c>
      <c r="C72" s="9">
        <f>IFERROR(GETPIVOTDATA("[Measures].[Suma de valor]",base!$A$3,"[IF].[departamento_jerarquia2]","[IF].[departamento_jerarquia2].&amp;["&amp;C$5&amp;"]","[IF].[grupo_analisis]","[IF].[grupo_analisis].&amp;["&amp;$B72&amp;"]","[IF].[mes]","[IF].[mes].&amp;["&amp;C$8&amp;"]","[IF].[ano]","[IF].[ano].&amp;["&amp;C$7&amp;"]","[IF].[informacion]","[IF].[informacion].&amp;["&amp;C$9&amp;"]"),0)</f>
        <v>0</v>
      </c>
      <c r="D72" s="9">
        <f>IFERROR(GETPIVOTDATA("[Measures].[Suma de valor]",base!$A$3,"[IF].[departamento_jerarquia2]","[IF].[departamento_jerarquia2].&amp;["&amp;D$5&amp;"]","[IF].[grupo_analisis]","[IF].[grupo_analisis].&amp;["&amp;$B72&amp;"]","[IF].[mes]","[IF].[mes].&amp;["&amp;D$8&amp;"]","[IF].[ano]","[IF].[ano].&amp;["&amp;D$7&amp;"]","[IF].[informacion]","[IF].[informacion].&amp;["&amp;D$9&amp;"]"),0)-E72</f>
        <v>0</v>
      </c>
      <c r="E72" s="9">
        <f>IFERROR(GETPIVOTDATA("[Measures].[Suma de valor]",base!$AN$5,"[IF].[grupo_analisis]","[IF].[grupo_analisis].&amp;["&amp;$B72&amp;"]","[IF].[mes]","[IF].[mes].&amp;["&amp;E$8&amp;"]","[IF].[ano]","[IF].[ano].&amp;["&amp;E$7&amp;"]","[IF].[informacion]","[IF].[informacion].&amp;["&amp;E$9&amp;"]"),0)</f>
        <v>0</v>
      </c>
      <c r="F72" s="9">
        <f>IFERROR(GETPIVOTDATA("[Measures].[Suma de valor]",base!$A$3,"[IF].[departamento_jerarquia2]","[IF].[departamento_jerarquia2].&amp;["&amp;F$5&amp;"]","[IF].[grupo_analisis]","[IF].[grupo_analisis].&amp;["&amp;$B72&amp;"]","[IF].[mes]","[IF].[mes].&amp;["&amp;F$8&amp;"]","[IF].[ano]","[IF].[ano].&amp;["&amp;F$7&amp;"]","[IF].[informacion]","[IF].[informacion].&amp;["&amp;F$9&amp;"]"),0)</f>
        <v>0</v>
      </c>
      <c r="G72" s="9">
        <f>IFERROR(GETPIVOTDATA("[Measures].[Suma de valor]",base!$A$3,"[IF].[departamento_jerarquia2]","[IF].[departamento_jerarquia2].&amp;["&amp;G$5&amp;"]","[IF].[grupo_analisis]","[IF].[grupo_analisis].&amp;["&amp;$B72&amp;"]","[IF].[mes]","[IF].[mes].&amp;["&amp;G$8&amp;"]","[IF].[ano]","[IF].[ano].&amp;["&amp;G$7&amp;"]","[IF].[informacion]","[IF].[informacion].&amp;["&amp;G$9&amp;"]"),0)</f>
        <v>0</v>
      </c>
      <c r="H72" s="9">
        <f>IFERROR(GETPIVOTDATA("[Measures].[Suma de valor]",base!$A$3,"[IF].[departamento_jerarquia2]","[IF].[departamento_jerarquia2].&amp;["&amp;H$5&amp;"]","[IF].[grupo_analisis]","[IF].[grupo_analisis].&amp;["&amp;$B72&amp;"]","[IF].[mes]","[IF].[mes].&amp;["&amp;H$8&amp;"]","[IF].[ano]","[IF].[ano].&amp;["&amp;H$7&amp;"]","[IF].[informacion]","[IF].[informacion].&amp;["&amp;H$9&amp;"]"),0)</f>
        <v>0</v>
      </c>
      <c r="I72" s="9">
        <f>IFERROR(GETPIVOTDATA("[Measures].[Suma de valor]",base!$A$3,"[IF].[departamento_jerarquia2]","[IF].[departamento_jerarquia2].&amp;["&amp;I$5&amp;"]","[IF].[grupo_analisis]","[IF].[grupo_analisis].&amp;["&amp;$B72&amp;"]","[IF].[mes]","[IF].[mes].&amp;["&amp;I$8&amp;"]","[IF].[ano]","[IF].[ano].&amp;["&amp;I$7&amp;"]","[IF].[informacion]","[IF].[informacion].&amp;["&amp;I$9&amp;"]"),0)</f>
        <v>0</v>
      </c>
      <c r="J72" s="9"/>
      <c r="K72" s="9"/>
      <c r="L72" s="12">
        <f t="shared" si="13"/>
        <v>0</v>
      </c>
      <c r="N72" s="12">
        <f t="shared" si="15"/>
        <v>0</v>
      </c>
    </row>
    <row r="73" spans="1:14" x14ac:dyDescent="0.25">
      <c r="B73" s="14" t="s">
        <v>207</v>
      </c>
      <c r="C73" s="15">
        <f t="shared" ref="C73:L73" si="16">SUM(C41:C47,C67:C72)</f>
        <v>0</v>
      </c>
      <c r="D73" s="15">
        <f t="shared" si="16"/>
        <v>188.32029557999996</v>
      </c>
      <c r="E73" s="15">
        <f t="shared" si="16"/>
        <v>906.21364114999994</v>
      </c>
      <c r="F73" s="15">
        <f t="shared" si="16"/>
        <v>0.82945499999999994</v>
      </c>
      <c r="G73" s="15">
        <f t="shared" si="16"/>
        <v>0</v>
      </c>
      <c r="H73" s="15">
        <f t="shared" si="16"/>
        <v>0</v>
      </c>
      <c r="I73" s="15">
        <f t="shared" si="16"/>
        <v>849.43206198000007</v>
      </c>
      <c r="J73" s="15"/>
      <c r="K73" s="15"/>
      <c r="L73" s="16">
        <f t="shared" si="16"/>
        <v>1944.7954537099999</v>
      </c>
      <c r="N73" s="16">
        <f>SUM(N41:N47,N67:N72)</f>
        <v>1890.5045137099999</v>
      </c>
    </row>
    <row r="75" spans="1:14" x14ac:dyDescent="0.25">
      <c r="B75" s="14" t="s">
        <v>208</v>
      </c>
      <c r="C75" s="15">
        <f t="shared" ref="C75:L75" si="17">C39-C73</f>
        <v>0</v>
      </c>
      <c r="D75" s="15">
        <f t="shared" si="17"/>
        <v>29.095477420000066</v>
      </c>
      <c r="E75" s="15">
        <f t="shared" si="17"/>
        <v>235.84684484999991</v>
      </c>
      <c r="F75" s="15">
        <f t="shared" si="17"/>
        <v>-69.239454999999992</v>
      </c>
      <c r="G75" s="15">
        <f t="shared" si="17"/>
        <v>0</v>
      </c>
      <c r="H75" s="15">
        <f t="shared" si="17"/>
        <v>0</v>
      </c>
      <c r="I75" s="15">
        <f t="shared" si="17"/>
        <v>383.86322202999986</v>
      </c>
      <c r="J75" s="15"/>
      <c r="K75" s="15"/>
      <c r="L75" s="16">
        <f t="shared" si="17"/>
        <v>579.56608929999993</v>
      </c>
      <c r="N75" s="16">
        <f>N39-N73</f>
        <v>579.56608930000016</v>
      </c>
    </row>
    <row r="77" spans="1:14" x14ac:dyDescent="0.25">
      <c r="B77" t="s">
        <v>112</v>
      </c>
      <c r="C77" s="9">
        <f>IFERROR(GETPIVOTDATA("[Measures].[Suma de valor]",base!$A$3,"[IF].[departamento_jerarquia2]","[IF].[departamento_jerarquia2].&amp;["&amp;C$5&amp;"]","[IF].[grupo_analisis]","[IF].[grupo_analisis].&amp;["&amp;$B77&amp;"]","[IF].[mes]","[IF].[mes].&amp;["&amp;C$8&amp;"]","[IF].[ano]","[IF].[ano].&amp;["&amp;C$7&amp;"]","[IF].[informacion]","[IF].[informacion].&amp;["&amp;C$9&amp;"]"),0)</f>
        <v>0</v>
      </c>
      <c r="D77" s="9">
        <f>IFERROR(GETPIVOTDATA("[Measures].[Suma de valor]",base!$A$3,"[IF].[departamento_jerarquia2]","[IF].[departamento_jerarquia2].&amp;["&amp;D$5&amp;"]","[IF].[grupo_analisis]","[IF].[grupo_analisis].&amp;["&amp;$B77&amp;"]","[IF].[mes]","[IF].[mes].&amp;["&amp;D$8&amp;"]","[IF].[ano]","[IF].[ano].&amp;["&amp;D$7&amp;"]","[IF].[informacion]","[IF].[informacion].&amp;["&amp;D$9&amp;"]"),0)-E77</f>
        <v>8.3958849999999974E-2</v>
      </c>
      <c r="E77" s="9">
        <f>IFERROR(GETPIVOTDATA("[Measures].[Suma de valor]",base!$AN$5,"[IF].[grupo_analisis]","[IF].[grupo_analisis].&amp;["&amp;$B77&amp;"]","[IF].[mes]","[IF].[mes].&amp;["&amp;E$8&amp;"]","[IF].[ano]","[IF].[ano].&amp;["&amp;E$7&amp;"]","[IF].[informacion]","[IF].[informacion].&amp;["&amp;E$9&amp;"]"),0)</f>
        <v>0.33576157000000001</v>
      </c>
      <c r="F77" s="9">
        <f>IFERROR(GETPIVOTDATA("[Measures].[Suma de valor]",base!$A$3,"[IF].[departamento_jerarquia2]","[IF].[departamento_jerarquia2].&amp;["&amp;F$5&amp;"]","[IF].[grupo_analisis]","[IF].[grupo_analisis].&amp;["&amp;$B77&amp;"]","[IF].[mes]","[IF].[mes].&amp;["&amp;F$8&amp;"]","[IF].[ano]","[IF].[ano].&amp;["&amp;F$7&amp;"]","[IF].[informacion]","[IF].[informacion].&amp;["&amp;F$9&amp;"]"),0)</f>
        <v>0</v>
      </c>
      <c r="G77" s="9">
        <f>IFERROR(GETPIVOTDATA("[Measures].[Suma de valor]",base!$A$3,"[IF].[departamento_jerarquia2]","[IF].[departamento_jerarquia2].&amp;["&amp;G$5&amp;"]","[IF].[grupo_analisis]","[IF].[grupo_analisis].&amp;["&amp;$B77&amp;"]","[IF].[mes]","[IF].[mes].&amp;["&amp;G$8&amp;"]","[IF].[ano]","[IF].[ano].&amp;["&amp;G$7&amp;"]","[IF].[informacion]","[IF].[informacion].&amp;["&amp;G$9&amp;"]"),0)</f>
        <v>0</v>
      </c>
      <c r="H77" s="9">
        <f>IFERROR(GETPIVOTDATA("[Measures].[Suma de valor]",base!$A$3,"[IF].[departamento_jerarquia2]","[IF].[departamento_jerarquia2].&amp;["&amp;H$5&amp;"]","[IF].[grupo_analisis]","[IF].[grupo_analisis].&amp;["&amp;$B77&amp;"]","[IF].[mes]","[IF].[mes].&amp;["&amp;H$8&amp;"]","[IF].[ano]","[IF].[ano].&amp;["&amp;H$7&amp;"]","[IF].[informacion]","[IF].[informacion].&amp;["&amp;H$9&amp;"]"),0)</f>
        <v>0</v>
      </c>
      <c r="I77" s="9">
        <f>IFERROR(GETPIVOTDATA("[Measures].[Suma de valor]",base!$A$3,"[IF].[departamento_jerarquia2]","[IF].[departamento_jerarquia2].&amp;["&amp;I$5&amp;"]","[IF].[grupo_analisis]","[IF].[grupo_analisis].&amp;["&amp;$B77&amp;"]","[IF].[mes]","[IF].[mes].&amp;["&amp;I$8&amp;"]","[IF].[ano]","[IF].[ano].&amp;["&amp;I$7&amp;"]","[IF].[informacion]","[IF].[informacion].&amp;["&amp;I$9&amp;"]"),0)</f>
        <v>7.1781520000000001E-2</v>
      </c>
      <c r="J77" s="9"/>
      <c r="K77" s="9"/>
      <c r="L77" s="12">
        <f>SUM(C77:K77)</f>
        <v>0.49150193999999997</v>
      </c>
      <c r="N77" s="12">
        <f>L77</f>
        <v>0.49150193999999997</v>
      </c>
    </row>
    <row r="78" spans="1:14" x14ac:dyDescent="0.25">
      <c r="B78" t="s">
        <v>114</v>
      </c>
      <c r="C78" s="9">
        <f>IFERROR(GETPIVOTDATA("[Measures].[Suma de valor]",base!$A$3,"[IF].[departamento_jerarquia2]","[IF].[departamento_jerarquia2].&amp;["&amp;C$5&amp;"]","[IF].[grupo_analisis]","[IF].[grupo_analisis].&amp;["&amp;$B78&amp;"]","[IF].[mes]","[IF].[mes].&amp;["&amp;C$8&amp;"]","[IF].[ano]","[IF].[ano].&amp;["&amp;C$7&amp;"]","[IF].[informacion]","[IF].[informacion].&amp;["&amp;C$9&amp;"]"),0)</f>
        <v>0</v>
      </c>
      <c r="D78" s="9">
        <f>IFERROR(GETPIVOTDATA("[Measures].[Suma de valor]",base!$A$3,"[IF].[departamento_jerarquia2]","[IF].[departamento_jerarquia2].&amp;["&amp;D$5&amp;"]","[IF].[grupo_analisis]","[IF].[grupo_analisis].&amp;["&amp;$B78&amp;"]","[IF].[mes]","[IF].[mes].&amp;["&amp;D$8&amp;"]","[IF].[ano]","[IF].[ano].&amp;["&amp;D$7&amp;"]","[IF].[informacion]","[IF].[informacion].&amp;["&amp;D$9&amp;"]"),0)-E78</f>
        <v>0</v>
      </c>
      <c r="E78" s="9">
        <f>IFERROR(GETPIVOTDATA("[Measures].[Suma de valor]",base!$AN$5,"[IF].[grupo_analisis]","[IF].[grupo_analisis].&amp;["&amp;$B78&amp;"]","[IF].[mes]","[IF].[mes].&amp;["&amp;E$8&amp;"]","[IF].[ano]","[IF].[ano].&amp;["&amp;E$7&amp;"]","[IF].[informacion]","[IF].[informacion].&amp;["&amp;E$9&amp;"]"),0)</f>
        <v>1.67344841</v>
      </c>
      <c r="F78" s="9">
        <f>IFERROR(GETPIVOTDATA("[Measures].[Suma de valor]",base!$A$3,"[IF].[departamento_jerarquia2]","[IF].[departamento_jerarquia2].&amp;["&amp;F$5&amp;"]","[IF].[grupo_analisis]","[IF].[grupo_analisis].&amp;["&amp;$B78&amp;"]","[IF].[mes]","[IF].[mes].&amp;["&amp;F$8&amp;"]","[IF].[ano]","[IF].[ano].&amp;["&amp;F$7&amp;"]","[IF].[informacion]","[IF].[informacion].&amp;["&amp;F$9&amp;"]"),0)</f>
        <v>0</v>
      </c>
      <c r="G78" s="9">
        <f>IFERROR(GETPIVOTDATA("[Measures].[Suma de valor]",base!$A$3,"[IF].[departamento_jerarquia2]","[IF].[departamento_jerarquia2].&amp;["&amp;G$5&amp;"]","[IF].[grupo_analisis]","[IF].[grupo_analisis].&amp;["&amp;$B78&amp;"]","[IF].[mes]","[IF].[mes].&amp;["&amp;G$8&amp;"]","[IF].[ano]","[IF].[ano].&amp;["&amp;G$7&amp;"]","[IF].[informacion]","[IF].[informacion].&amp;["&amp;G$9&amp;"]"),0)</f>
        <v>0</v>
      </c>
      <c r="H78" s="9">
        <f>IFERROR(GETPIVOTDATA("[Measures].[Suma de valor]",base!$A$3,"[IF].[departamento_jerarquia2]","[IF].[departamento_jerarquia2].&amp;["&amp;H$5&amp;"]","[IF].[grupo_analisis]","[IF].[grupo_analisis].&amp;["&amp;$B78&amp;"]","[IF].[mes]","[IF].[mes].&amp;["&amp;H$8&amp;"]","[IF].[ano]","[IF].[ano].&amp;["&amp;H$7&amp;"]","[IF].[informacion]","[IF].[informacion].&amp;["&amp;H$9&amp;"]"),0)</f>
        <v>0</v>
      </c>
      <c r="I78" s="9">
        <f>IFERROR(GETPIVOTDATA("[Measures].[Suma de valor]",base!$A$3,"[IF].[departamento_jerarquia2]","[IF].[departamento_jerarquia2].&amp;["&amp;I$5&amp;"]","[IF].[grupo_analisis]","[IF].[grupo_analisis].&amp;["&amp;$B78&amp;"]","[IF].[mes]","[IF].[mes].&amp;["&amp;I$8&amp;"]","[IF].[ano]","[IF].[ano].&amp;["&amp;I$7&amp;"]","[IF].[informacion]","[IF].[informacion].&amp;["&amp;I$9&amp;"]"),0)</f>
        <v>0</v>
      </c>
      <c r="J78" s="9"/>
      <c r="K78" s="9"/>
      <c r="L78" s="12">
        <f>SUM(C78:K78)</f>
        <v>1.67344841</v>
      </c>
      <c r="N78" s="12">
        <f>L78</f>
        <v>1.67344841</v>
      </c>
    </row>
    <row r="79" spans="1:14" x14ac:dyDescent="0.25">
      <c r="B79" t="s">
        <v>104</v>
      </c>
      <c r="C79" s="9">
        <f>IFERROR(GETPIVOTDATA("[Measures].[Suma de valor]",base!$A$3,"[IF].[departamento_jerarquia2]","[IF].[departamento_jerarquia2].&amp;["&amp;C$5&amp;"]","[IF].[grupo_analisis]","[IF].[grupo_analisis].&amp;["&amp;$B79&amp;"]","[IF].[mes]","[IF].[mes].&amp;["&amp;C$8&amp;"]","[IF].[ano]","[IF].[ano].&amp;["&amp;C$7&amp;"]","[IF].[informacion]","[IF].[informacion].&amp;["&amp;C$9&amp;"]"),0)</f>
        <v>0</v>
      </c>
      <c r="D79" s="9">
        <f>IFERROR(GETPIVOTDATA("[Measures].[Suma de valor]",base!$A$3,"[IF].[departamento_jerarquia2]","[IF].[departamento_jerarquia2].&amp;["&amp;D$5&amp;"]","[IF].[grupo_analisis]","[IF].[grupo_analisis].&amp;["&amp;$B79&amp;"]","[IF].[mes]","[IF].[mes].&amp;["&amp;D$8&amp;"]","[IF].[ano]","[IF].[ano].&amp;["&amp;D$7&amp;"]","[IF].[informacion]","[IF].[informacion].&amp;["&amp;D$9&amp;"]"),0)-E79</f>
        <v>0</v>
      </c>
      <c r="E79" s="9">
        <f>IFERROR(GETPIVOTDATA("[Measures].[Suma de valor]",base!$AN$5,"[IF].[grupo_analisis]","[IF].[grupo_analisis].&amp;["&amp;$B79&amp;"]","[IF].[mes]","[IF].[mes].&amp;["&amp;E$8&amp;"]","[IF].[ano]","[IF].[ano].&amp;["&amp;E$7&amp;"]","[IF].[informacion]","[IF].[informacion].&amp;["&amp;E$9&amp;"]"),0)</f>
        <v>0</v>
      </c>
      <c r="F79" s="9">
        <f>IFERROR(GETPIVOTDATA("[Measures].[Suma de valor]",base!$A$3,"[IF].[departamento_jerarquia2]","[IF].[departamento_jerarquia2].&amp;["&amp;F$5&amp;"]","[IF].[grupo_analisis]","[IF].[grupo_analisis].&amp;["&amp;$B79&amp;"]","[IF].[mes]","[IF].[mes].&amp;["&amp;F$8&amp;"]","[IF].[ano]","[IF].[ano].&amp;["&amp;F$7&amp;"]","[IF].[informacion]","[IF].[informacion].&amp;["&amp;F$9&amp;"]"),0)</f>
        <v>0</v>
      </c>
      <c r="G79" s="9">
        <f>IFERROR(GETPIVOTDATA("[Measures].[Suma de valor]",base!$A$3,"[IF].[departamento_jerarquia2]","[IF].[departamento_jerarquia2].&amp;["&amp;G$5&amp;"]","[IF].[grupo_analisis]","[IF].[grupo_analisis].&amp;["&amp;$B79&amp;"]","[IF].[mes]","[IF].[mes].&amp;["&amp;G$8&amp;"]","[IF].[ano]","[IF].[ano].&amp;["&amp;G$7&amp;"]","[IF].[informacion]","[IF].[informacion].&amp;["&amp;G$9&amp;"]"),0)</f>
        <v>0</v>
      </c>
      <c r="H79" s="9">
        <f>IFERROR(GETPIVOTDATA("[Measures].[Suma de valor]",base!$A$3,"[IF].[departamento_jerarquia2]","[IF].[departamento_jerarquia2].&amp;["&amp;H$5&amp;"]","[IF].[grupo_analisis]","[IF].[grupo_analisis].&amp;["&amp;$B79&amp;"]","[IF].[mes]","[IF].[mes].&amp;["&amp;H$8&amp;"]","[IF].[ano]","[IF].[ano].&amp;["&amp;H$7&amp;"]","[IF].[informacion]","[IF].[informacion].&amp;["&amp;H$9&amp;"]"),0)</f>
        <v>0</v>
      </c>
      <c r="I79" s="9">
        <f>IFERROR(GETPIVOTDATA("[Measures].[Suma de valor]",base!$A$3,"[IF].[departamento_jerarquia2]","[IF].[departamento_jerarquia2].&amp;["&amp;I$5&amp;"]","[IF].[grupo_analisis]","[IF].[grupo_analisis].&amp;["&amp;$B79&amp;"]","[IF].[mes]","[IF].[mes].&amp;["&amp;I$8&amp;"]","[IF].[ano]","[IF].[ano].&amp;["&amp;I$7&amp;"]","[IF].[informacion]","[IF].[informacion].&amp;["&amp;I$9&amp;"]"),0)</f>
        <v>0</v>
      </c>
      <c r="J79" s="9"/>
      <c r="K79" s="9"/>
      <c r="L79" s="12">
        <f>SUM(C79:K79)</f>
        <v>0</v>
      </c>
      <c r="N79" s="12">
        <f>L79</f>
        <v>0</v>
      </c>
    </row>
    <row r="80" spans="1:14" x14ac:dyDescent="0.25">
      <c r="B80" s="14" t="s">
        <v>209</v>
      </c>
      <c r="C80" s="15">
        <f t="shared" ref="C80:L80" si="18">SUM(C77:C79)</f>
        <v>0</v>
      </c>
      <c r="D80" s="15">
        <f t="shared" si="18"/>
        <v>8.3958849999999974E-2</v>
      </c>
      <c r="E80" s="15">
        <f t="shared" si="18"/>
        <v>2.0092099800000001</v>
      </c>
      <c r="F80" s="15">
        <f t="shared" si="18"/>
        <v>0</v>
      </c>
      <c r="G80" s="15">
        <f t="shared" si="18"/>
        <v>0</v>
      </c>
      <c r="H80" s="15">
        <f t="shared" si="18"/>
        <v>0</v>
      </c>
      <c r="I80" s="15">
        <f t="shared" si="18"/>
        <v>7.1781520000000001E-2</v>
      </c>
      <c r="J80" s="15"/>
      <c r="K80" s="15"/>
      <c r="L80" s="16">
        <f t="shared" si="18"/>
        <v>2.1649503499999998</v>
      </c>
      <c r="N80" s="16">
        <f>SUM(N77:N79)</f>
        <v>2.1649503499999998</v>
      </c>
    </row>
    <row r="82" spans="2:14" x14ac:dyDescent="0.25">
      <c r="B82" t="s">
        <v>107</v>
      </c>
      <c r="C82" s="9">
        <f>IFERROR(GETPIVOTDATA("[Measures].[Suma de valor]",base!$A$3,"[IF].[departamento_jerarquia2]","[IF].[departamento_jerarquia2].&amp;["&amp;C$5&amp;"]","[IF].[grupo_analisis]","[IF].[grupo_analisis].&amp;["&amp;$B82&amp;"]","[IF].[mes]","[IF].[mes].&amp;["&amp;C$8&amp;"]","[IF].[ano]","[IF].[ano].&amp;["&amp;C$7&amp;"]","[IF].[informacion]","[IF].[informacion].&amp;["&amp;C$9&amp;"]"),0)</f>
        <v>0</v>
      </c>
      <c r="D82" s="9">
        <f>IFERROR(GETPIVOTDATA("[Measures].[Suma de valor]",base!$A$3,"[IF].[departamento_jerarquia2]","[IF].[departamento_jerarquia2].&amp;["&amp;D$5&amp;"]","[IF].[grupo_analisis]","[IF].[grupo_analisis].&amp;["&amp;$B82&amp;"]","[IF].[mes]","[IF].[mes].&amp;["&amp;D$8&amp;"]","[IF].[ano]","[IF].[ano].&amp;["&amp;D$7&amp;"]","[IF].[informacion]","[IF].[informacion].&amp;["&amp;D$9&amp;"]"),0)-E82</f>
        <v>0.11087785000000006</v>
      </c>
      <c r="E82" s="9">
        <f>IFERROR(GETPIVOTDATA("[Measures].[Suma de valor]",base!$AN$5,"[IF].[grupo_analisis]","[IF].[grupo_analisis].&amp;["&amp;$B82&amp;"]","[IF].[mes]","[IF].[mes].&amp;["&amp;E$8&amp;"]","[IF].[ano]","[IF].[ano].&amp;["&amp;E$7&amp;"]","[IF].[informacion]","[IF].[informacion].&amp;["&amp;E$9&amp;"]"),0)</f>
        <v>1.2326744199999999</v>
      </c>
      <c r="F82" s="9">
        <f>IFERROR(GETPIVOTDATA("[Measures].[Suma de valor]",base!$A$3,"[IF].[departamento_jerarquia2]","[IF].[departamento_jerarquia2].&amp;["&amp;F$5&amp;"]","[IF].[grupo_analisis]","[IF].[grupo_analisis].&amp;["&amp;$B82&amp;"]","[IF].[mes]","[IF].[mes].&amp;["&amp;F$8&amp;"]","[IF].[ano]","[IF].[ano].&amp;["&amp;F$7&amp;"]","[IF].[informacion]","[IF].[informacion].&amp;["&amp;F$9&amp;"]"),0)</f>
        <v>0</v>
      </c>
      <c r="G82" s="9">
        <f>IFERROR(GETPIVOTDATA("[Measures].[Suma de valor]",base!$A$3,"[IF].[departamento_jerarquia2]","[IF].[departamento_jerarquia2].&amp;["&amp;G$5&amp;"]","[IF].[grupo_analisis]","[IF].[grupo_analisis].&amp;["&amp;$B82&amp;"]","[IF].[mes]","[IF].[mes].&amp;["&amp;G$8&amp;"]","[IF].[ano]","[IF].[ano].&amp;["&amp;G$7&amp;"]","[IF].[informacion]","[IF].[informacion].&amp;["&amp;G$9&amp;"]"),0)</f>
        <v>0</v>
      </c>
      <c r="H82" s="9">
        <f>IFERROR(GETPIVOTDATA("[Measures].[Suma de valor]",base!$A$3,"[IF].[departamento_jerarquia2]","[IF].[departamento_jerarquia2].&amp;["&amp;H$5&amp;"]","[IF].[grupo_analisis]","[IF].[grupo_analisis].&amp;["&amp;$B82&amp;"]","[IF].[mes]","[IF].[mes].&amp;["&amp;H$8&amp;"]","[IF].[ano]","[IF].[ano].&amp;["&amp;H$7&amp;"]","[IF].[informacion]","[IF].[informacion].&amp;["&amp;H$9&amp;"]"),0)</f>
        <v>0</v>
      </c>
      <c r="I82" s="9">
        <f>IFERROR(GETPIVOTDATA("[Measures].[Suma de valor]",base!$A$3,"[IF].[departamento_jerarquia2]","[IF].[departamento_jerarquia2].&amp;["&amp;I$5&amp;"]","[IF].[grupo_analisis]","[IF].[grupo_analisis].&amp;["&amp;$B82&amp;"]","[IF].[mes]","[IF].[mes].&amp;["&amp;I$8&amp;"]","[IF].[ano]","[IF].[ano].&amp;["&amp;I$7&amp;"]","[IF].[informacion]","[IF].[informacion].&amp;["&amp;I$9&amp;"]"),0)</f>
        <v>0.29383705999999998</v>
      </c>
      <c r="J82" s="9"/>
      <c r="K82" s="9"/>
      <c r="L82" s="12">
        <f>SUM(C82:K82)</f>
        <v>1.63738933</v>
      </c>
      <c r="N82" s="12">
        <f>L82</f>
        <v>1.63738933</v>
      </c>
    </row>
    <row r="83" spans="2:14" x14ac:dyDescent="0.25">
      <c r="B83" t="s">
        <v>110</v>
      </c>
      <c r="C83" s="9">
        <f>IFERROR(GETPIVOTDATA("[Measures].[Suma de valor]",base!$A$3,"[IF].[departamento_jerarquia2]","[IF].[departamento_jerarquia2].&amp;["&amp;C$5&amp;"]","[IF].[grupo_analisis]","[IF].[grupo_analisis].&amp;["&amp;$B83&amp;"]","[IF].[mes]","[IF].[mes].&amp;["&amp;C$8&amp;"]","[IF].[ano]","[IF].[ano].&amp;["&amp;C$7&amp;"]","[IF].[informacion]","[IF].[informacion].&amp;["&amp;C$9&amp;"]"),0)</f>
        <v>0</v>
      </c>
      <c r="D83" s="9">
        <f>IFERROR(GETPIVOTDATA("[Measures].[Suma de valor]",base!$A$3,"[IF].[departamento_jerarquia2]","[IF].[departamento_jerarquia2].&amp;["&amp;D$5&amp;"]","[IF].[grupo_analisis]","[IF].[grupo_analisis].&amp;["&amp;$B83&amp;"]","[IF].[mes]","[IF].[mes].&amp;["&amp;D$8&amp;"]","[IF].[ano]","[IF].[ano].&amp;["&amp;D$7&amp;"]","[IF].[informacion]","[IF].[informacion].&amp;["&amp;D$9&amp;"]"),0)-E83</f>
        <v>0</v>
      </c>
      <c r="E83" s="9">
        <f>IFERROR(GETPIVOTDATA("[Measures].[Suma de valor]",base!$AN$5,"[IF].[grupo_analisis]","[IF].[grupo_analisis].&amp;["&amp;$B83&amp;"]","[IF].[mes]","[IF].[mes].&amp;["&amp;E$8&amp;"]","[IF].[ano]","[IF].[ano].&amp;["&amp;E$7&amp;"]","[IF].[informacion]","[IF].[informacion].&amp;["&amp;E$9&amp;"]"),0)</f>
        <v>0</v>
      </c>
      <c r="F83" s="9">
        <f>IFERROR(GETPIVOTDATA("[Measures].[Suma de valor]",base!$A$3,"[IF].[departamento_jerarquia2]","[IF].[departamento_jerarquia2].&amp;["&amp;F$5&amp;"]","[IF].[grupo_analisis]","[IF].[grupo_analisis].&amp;["&amp;$B83&amp;"]","[IF].[mes]","[IF].[mes].&amp;["&amp;F$8&amp;"]","[IF].[ano]","[IF].[ano].&amp;["&amp;F$7&amp;"]","[IF].[informacion]","[IF].[informacion].&amp;["&amp;F$9&amp;"]"),0)</f>
        <v>0</v>
      </c>
      <c r="G83" s="9">
        <f>IFERROR(GETPIVOTDATA("[Measures].[Suma de valor]",base!$A$3,"[IF].[departamento_jerarquia2]","[IF].[departamento_jerarquia2].&amp;["&amp;G$5&amp;"]","[IF].[grupo_analisis]","[IF].[grupo_analisis].&amp;["&amp;$B83&amp;"]","[IF].[mes]","[IF].[mes].&amp;["&amp;G$8&amp;"]","[IF].[ano]","[IF].[ano].&amp;["&amp;G$7&amp;"]","[IF].[informacion]","[IF].[informacion].&amp;["&amp;G$9&amp;"]"),0)</f>
        <v>0</v>
      </c>
      <c r="H83" s="9">
        <f>IFERROR(GETPIVOTDATA("[Measures].[Suma de valor]",base!$A$3,"[IF].[departamento_jerarquia2]","[IF].[departamento_jerarquia2].&amp;["&amp;H$5&amp;"]","[IF].[grupo_analisis]","[IF].[grupo_analisis].&amp;["&amp;$B83&amp;"]","[IF].[mes]","[IF].[mes].&amp;["&amp;H$8&amp;"]","[IF].[ano]","[IF].[ano].&amp;["&amp;H$7&amp;"]","[IF].[informacion]","[IF].[informacion].&amp;["&amp;H$9&amp;"]"),0)</f>
        <v>0</v>
      </c>
      <c r="I83" s="9">
        <f>IFERROR(GETPIVOTDATA("[Measures].[Suma de valor]",base!$A$3,"[IF].[departamento_jerarquia2]","[IF].[departamento_jerarquia2].&amp;["&amp;I$5&amp;"]","[IF].[grupo_analisis]","[IF].[grupo_analisis].&amp;["&amp;$B83&amp;"]","[IF].[mes]","[IF].[mes].&amp;["&amp;I$8&amp;"]","[IF].[ano]","[IF].[ano].&amp;["&amp;I$7&amp;"]","[IF].[informacion]","[IF].[informacion].&amp;["&amp;I$9&amp;"]"),0)</f>
        <v>0</v>
      </c>
      <c r="J83" s="9"/>
      <c r="K83" s="9"/>
      <c r="L83" s="12">
        <f>SUM(C83:K83)</f>
        <v>0</v>
      </c>
      <c r="N83" s="12">
        <f>L83</f>
        <v>0</v>
      </c>
    </row>
    <row r="84" spans="2:14" x14ac:dyDescent="0.25">
      <c r="B84" t="s">
        <v>166</v>
      </c>
      <c r="C84" s="9">
        <f>IFERROR(GETPIVOTDATA("[Measures].[Suma de valor]",base!$A$3,"[IF].[departamento_jerarquia2]","[IF].[departamento_jerarquia2].&amp;["&amp;C$5&amp;"]","[IF].[grupo_analisis]","[IF].[grupo_analisis].&amp;["&amp;$B84&amp;"]","[IF].[mes]","[IF].[mes].&amp;["&amp;C$8&amp;"]","[IF].[ano]","[IF].[ano].&amp;["&amp;C$7&amp;"]","[IF].[informacion]","[IF].[informacion].&amp;["&amp;C$9&amp;"]"),0)</f>
        <v>0</v>
      </c>
      <c r="D84" s="9">
        <f>IFERROR(GETPIVOTDATA("[Measures].[Suma de valor]",base!$A$3,"[IF].[departamento_jerarquia2]","[IF].[departamento_jerarquia2].&amp;["&amp;D$5&amp;"]","[IF].[grupo_analisis]","[IF].[grupo_analisis].&amp;["&amp;$B84&amp;"]","[IF].[mes]","[IF].[mes].&amp;["&amp;D$8&amp;"]","[IF].[ano]","[IF].[ano].&amp;["&amp;D$7&amp;"]","[IF].[informacion]","[IF].[informacion].&amp;["&amp;D$9&amp;"]"),0)-E84</f>
        <v>0</v>
      </c>
      <c r="E84" s="9">
        <f>IFERROR(GETPIVOTDATA("[Measures].[Suma de valor]",base!$AN$5,"[IF].[grupo_analisis]","[IF].[grupo_analisis].&amp;["&amp;$B84&amp;"]","[IF].[mes]","[IF].[mes].&amp;["&amp;E$8&amp;"]","[IF].[ano]","[IF].[ano].&amp;["&amp;E$7&amp;"]","[IF].[informacion]","[IF].[informacion].&amp;["&amp;E$9&amp;"]"),0)</f>
        <v>0</v>
      </c>
      <c r="F84" s="9">
        <f>IFERROR(GETPIVOTDATA("[Measures].[Suma de valor]",base!$A$3,"[IF].[departamento_jerarquia2]","[IF].[departamento_jerarquia2].&amp;["&amp;F$5&amp;"]","[IF].[grupo_analisis]","[IF].[grupo_analisis].&amp;["&amp;$B84&amp;"]","[IF].[mes]","[IF].[mes].&amp;["&amp;F$8&amp;"]","[IF].[ano]","[IF].[ano].&amp;["&amp;F$7&amp;"]","[IF].[informacion]","[IF].[informacion].&amp;["&amp;F$9&amp;"]"),0)</f>
        <v>0</v>
      </c>
      <c r="G84" s="9">
        <f>IFERROR(GETPIVOTDATA("[Measures].[Suma de valor]",base!$A$3,"[IF].[departamento_jerarquia2]","[IF].[departamento_jerarquia2].&amp;["&amp;G$5&amp;"]","[IF].[grupo_analisis]","[IF].[grupo_analisis].&amp;["&amp;$B84&amp;"]","[IF].[mes]","[IF].[mes].&amp;["&amp;G$8&amp;"]","[IF].[ano]","[IF].[ano].&amp;["&amp;G$7&amp;"]","[IF].[informacion]","[IF].[informacion].&amp;["&amp;G$9&amp;"]"),0)</f>
        <v>0</v>
      </c>
      <c r="H84" s="9">
        <f>IFERROR(GETPIVOTDATA("[Measures].[Suma de valor]",base!$A$3,"[IF].[departamento_jerarquia2]","[IF].[departamento_jerarquia2].&amp;["&amp;H$5&amp;"]","[IF].[grupo_analisis]","[IF].[grupo_analisis].&amp;["&amp;$B84&amp;"]","[IF].[mes]","[IF].[mes].&amp;["&amp;H$8&amp;"]","[IF].[ano]","[IF].[ano].&amp;["&amp;H$7&amp;"]","[IF].[informacion]","[IF].[informacion].&amp;["&amp;H$9&amp;"]"),0)</f>
        <v>0</v>
      </c>
      <c r="I84" s="9">
        <f>IFERROR(GETPIVOTDATA("[Measures].[Suma de valor]",base!$A$3,"[IF].[departamento_jerarquia2]","[IF].[departamento_jerarquia2].&amp;["&amp;I$5&amp;"]","[IF].[grupo_analisis]","[IF].[grupo_analisis].&amp;["&amp;$B84&amp;"]","[IF].[mes]","[IF].[mes].&amp;["&amp;I$8&amp;"]","[IF].[ano]","[IF].[ano].&amp;["&amp;I$7&amp;"]","[IF].[informacion]","[IF].[informacion].&amp;["&amp;I$9&amp;"]"),0)</f>
        <v>0</v>
      </c>
      <c r="J84" s="9"/>
      <c r="K84" s="9"/>
      <c r="L84" s="12">
        <f>SUM(C84:K84)</f>
        <v>0</v>
      </c>
      <c r="N84" s="12">
        <f>L84</f>
        <v>0</v>
      </c>
    </row>
    <row r="85" spans="2:14" x14ac:dyDescent="0.25">
      <c r="B85" s="14" t="s">
        <v>210</v>
      </c>
      <c r="C85" s="15">
        <f t="shared" ref="C85:L85" si="19">SUM(C82:C84)</f>
        <v>0</v>
      </c>
      <c r="D85" s="15">
        <f t="shared" si="19"/>
        <v>0.11087785000000006</v>
      </c>
      <c r="E85" s="15">
        <f t="shared" si="19"/>
        <v>1.2326744199999999</v>
      </c>
      <c r="F85" s="15">
        <f t="shared" si="19"/>
        <v>0</v>
      </c>
      <c r="G85" s="15">
        <f t="shared" si="19"/>
        <v>0</v>
      </c>
      <c r="H85" s="15">
        <f t="shared" si="19"/>
        <v>0</v>
      </c>
      <c r="I85" s="15">
        <f t="shared" si="19"/>
        <v>0.29383705999999998</v>
      </c>
      <c r="J85" s="15"/>
      <c r="K85" s="15"/>
      <c r="L85" s="16">
        <f t="shared" si="19"/>
        <v>1.63738933</v>
      </c>
      <c r="N85" s="16">
        <f>SUM(N82:N84)</f>
        <v>1.63738933</v>
      </c>
    </row>
    <row r="87" spans="2:14" x14ac:dyDescent="0.25">
      <c r="B87" s="14" t="s">
        <v>211</v>
      </c>
      <c r="C87" s="15">
        <f t="shared" ref="C87:L87" si="20">C80-C85</f>
        <v>0</v>
      </c>
      <c r="D87" s="15">
        <f t="shared" si="20"/>
        <v>-2.6919000000000082E-2</v>
      </c>
      <c r="E87" s="15">
        <f t="shared" si="20"/>
        <v>0.77653556000000012</v>
      </c>
      <c r="F87" s="15">
        <f t="shared" si="20"/>
        <v>0</v>
      </c>
      <c r="G87" s="15">
        <f t="shared" si="20"/>
        <v>0</v>
      </c>
      <c r="H87" s="15">
        <f t="shared" si="20"/>
        <v>0</v>
      </c>
      <c r="I87" s="15">
        <f t="shared" si="20"/>
        <v>-0.22205554</v>
      </c>
      <c r="J87" s="15"/>
      <c r="K87" s="15"/>
      <c r="L87" s="16">
        <f t="shared" si="20"/>
        <v>0.52756101999999983</v>
      </c>
      <c r="N87" s="16">
        <f>N80-N85</f>
        <v>0.52756101999999983</v>
      </c>
    </row>
    <row r="89" spans="2:14" x14ac:dyDescent="0.25">
      <c r="B89" s="14" t="s">
        <v>212</v>
      </c>
      <c r="C89" s="15">
        <f t="shared" ref="C89:L89" si="21">C75+C87</f>
        <v>0</v>
      </c>
      <c r="D89" s="15">
        <f t="shared" si="21"/>
        <v>29.068558420000066</v>
      </c>
      <c r="E89" s="15">
        <f t="shared" si="21"/>
        <v>236.62338040999992</v>
      </c>
      <c r="F89" s="15">
        <f t="shared" si="21"/>
        <v>-69.239454999999992</v>
      </c>
      <c r="G89" s="15">
        <f t="shared" si="21"/>
        <v>0</v>
      </c>
      <c r="H89" s="15">
        <f t="shared" si="21"/>
        <v>0</v>
      </c>
      <c r="I89" s="15">
        <f t="shared" si="21"/>
        <v>383.64116648999988</v>
      </c>
      <c r="J89" s="15"/>
      <c r="K89" s="15"/>
      <c r="L89" s="16">
        <f t="shared" si="21"/>
        <v>580.09365031999994</v>
      </c>
      <c r="N89" s="16">
        <f>N75+N87</f>
        <v>580.09365032000017</v>
      </c>
    </row>
    <row r="90" spans="2:14" x14ac:dyDescent="0.25">
      <c r="B90" t="s">
        <v>213</v>
      </c>
      <c r="C90" s="7">
        <f t="shared" ref="C90:L90" si="22">IFERROR(C89/(C39+C80),0)</f>
        <v>0</v>
      </c>
      <c r="D90" s="7">
        <f t="shared" si="22"/>
        <v>0.13364870923173078</v>
      </c>
      <c r="E90" s="7">
        <f t="shared" si="22"/>
        <v>0.20682601876567536</v>
      </c>
      <c r="F90" s="7">
        <f t="shared" si="22"/>
        <v>1.0121247624616283</v>
      </c>
      <c r="G90" s="7">
        <f t="shared" si="22"/>
        <v>0</v>
      </c>
      <c r="H90" s="7">
        <f t="shared" si="22"/>
        <v>0</v>
      </c>
      <c r="I90" s="7">
        <f t="shared" si="22"/>
        <v>0.31105189785908738</v>
      </c>
      <c r="J90" s="7"/>
      <c r="K90" s="7"/>
      <c r="L90" s="7">
        <f t="shared" si="22"/>
        <v>0.22960125367557091</v>
      </c>
      <c r="N90" s="7">
        <f>IFERROR(N89/(N39+N80),0)</f>
        <v>0.2346433573174686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142DA-ED8F-4976-90CD-B498C62C45A3}">
  <sheetPr codeName="Hoja6">
    <outlinePr summaryBelow="0"/>
  </sheetPr>
  <dimension ref="A1:N90"/>
  <sheetViews>
    <sheetView showGridLines="0" workbookViewId="0">
      <pane xSplit="2" ySplit="11" topLeftCell="C18" activePane="bottomRight" state="frozen"/>
      <selection pane="topRight"/>
      <selection pane="bottomLeft"/>
      <selection pane="bottomRight" activeCell="C13" sqref="C13"/>
    </sheetView>
  </sheetViews>
  <sheetFormatPr baseColWidth="10" defaultRowHeight="15" outlineLevelRow="1" x14ac:dyDescent="0.25"/>
  <cols>
    <col min="2" max="2" width="32.28515625" bestFit="1" customWidth="1"/>
  </cols>
  <sheetData>
    <row r="1" spans="2:14" hidden="1" outlineLevel="1" collapsed="1" x14ac:dyDescent="0.25">
      <c r="B1" t="str" vm="6">
        <f>base!B1</f>
        <v>281</v>
      </c>
    </row>
    <row r="2" spans="2:14" hidden="1" outlineLevel="1" x14ac:dyDescent="0.25"/>
    <row r="3" spans="2:14" hidden="1" outlineLevel="1" x14ac:dyDescent="0.25"/>
    <row r="4" spans="2:14" hidden="1" outlineLevel="1" x14ac:dyDescent="0.25"/>
    <row r="5" spans="2:14" hidden="1" outlineLevel="1" x14ac:dyDescent="0.25">
      <c r="C5" s="5" t="e">
        <f>VLOOKUP($B$1&amp;"-"&amp;C$11,tipo_departamento[#All],3,0)</f>
        <v>#N/A</v>
      </c>
      <c r="D5" s="5" t="str">
        <f>VLOOKUP($B$1&amp;"-"&amp;D$11,tipo_departamento[#All],3,0)</f>
        <v>48</v>
      </c>
      <c r="E5" s="5"/>
      <c r="F5" s="5" t="str">
        <f>VLOOKUP($B$1&amp;"-"&amp;F$11,tipo_departamento[#All],3,0)</f>
        <v>922</v>
      </c>
      <c r="G5" s="5" t="e">
        <f>VLOOKUP($B$1&amp;"-"&amp;G$11,tipo_departamento[#All],3,0)</f>
        <v>#N/A</v>
      </c>
      <c r="H5" s="5" t="str">
        <f>VLOOKUP($B$1&amp;"-"&amp;H$11,tipo_departamento[#All],3,0)</f>
        <v>660</v>
      </c>
      <c r="I5" s="5" t="str">
        <f>VLOOKUP($B$1&amp;"-"&amp;I$11,tipo_departamento[#All],3,0)</f>
        <v>534</v>
      </c>
      <c r="J5" s="5" t="str">
        <f>VLOOKUP($B$1&amp;"-"&amp;J$11,tipo_departamento[#All],3,0)</f>
        <v>27</v>
      </c>
      <c r="K5" s="5" t="str">
        <f>VLOOKUP($B$1&amp;"-"&amp;K$11,tipo_departamento[#All],3,0)</f>
        <v>582</v>
      </c>
      <c r="L5" s="5"/>
      <c r="N5" s="5"/>
    </row>
    <row r="6" spans="2:14" hidden="1" outlineLevel="1" x14ac:dyDescent="0.25"/>
    <row r="7" spans="2:14" x14ac:dyDescent="0.25">
      <c r="B7" t="s">
        <v>201</v>
      </c>
      <c r="C7" s="17">
        <f>modelo!K4</f>
        <v>2019</v>
      </c>
      <c r="D7" s="17">
        <f t="shared" ref="D7:L9" si="0">C7</f>
        <v>2019</v>
      </c>
      <c r="E7" s="17">
        <f t="shared" si="0"/>
        <v>2019</v>
      </c>
      <c r="F7" s="17">
        <f t="shared" si="0"/>
        <v>2019</v>
      </c>
      <c r="G7" s="17">
        <f t="shared" si="0"/>
        <v>2019</v>
      </c>
      <c r="H7" s="17">
        <f t="shared" si="0"/>
        <v>2019</v>
      </c>
      <c r="I7" s="17">
        <f t="shared" si="0"/>
        <v>2019</v>
      </c>
      <c r="J7" s="17">
        <f t="shared" si="0"/>
        <v>2019</v>
      </c>
      <c r="K7" s="17">
        <f t="shared" si="0"/>
        <v>2019</v>
      </c>
      <c r="L7" s="17">
        <f t="shared" si="0"/>
        <v>2019</v>
      </c>
      <c r="M7" s="5"/>
      <c r="N7" s="5"/>
    </row>
    <row r="8" spans="2:14" x14ac:dyDescent="0.25">
      <c r="B8" t="s">
        <v>202</v>
      </c>
      <c r="C8" s="5">
        <v>12</v>
      </c>
      <c r="D8" s="5">
        <f t="shared" si="0"/>
        <v>12</v>
      </c>
      <c r="E8" s="5">
        <f t="shared" si="0"/>
        <v>12</v>
      </c>
      <c r="F8" s="5">
        <f t="shared" si="0"/>
        <v>12</v>
      </c>
      <c r="G8" s="5">
        <f t="shared" si="0"/>
        <v>12</v>
      </c>
      <c r="H8" s="5">
        <f t="shared" si="0"/>
        <v>12</v>
      </c>
      <c r="I8" s="5">
        <f t="shared" si="0"/>
        <v>12</v>
      </c>
      <c r="J8" s="5">
        <f t="shared" si="0"/>
        <v>12</v>
      </c>
      <c r="K8" s="5">
        <f t="shared" si="0"/>
        <v>12</v>
      </c>
      <c r="L8" s="5">
        <f t="shared" si="0"/>
        <v>12</v>
      </c>
      <c r="N8" s="5" t="s">
        <v>212</v>
      </c>
    </row>
    <row r="9" spans="2:14" x14ac:dyDescent="0.25">
      <c r="C9" s="17" t="s">
        <v>127</v>
      </c>
      <c r="D9" s="17" t="str">
        <f t="shared" si="0"/>
        <v>EJECUCION</v>
      </c>
      <c r="E9" s="17" t="str">
        <f t="shared" si="0"/>
        <v>EJECUCION</v>
      </c>
      <c r="F9" s="17" t="str">
        <f t="shared" si="0"/>
        <v>EJECUCION</v>
      </c>
      <c r="G9" s="17" t="str">
        <f t="shared" si="0"/>
        <v>EJECUCION</v>
      </c>
      <c r="H9" s="17" t="str">
        <f t="shared" si="0"/>
        <v>EJECUCION</v>
      </c>
      <c r="I9" s="17" t="str">
        <f t="shared" si="0"/>
        <v>EJECUCION</v>
      </c>
      <c r="J9" s="17" t="str">
        <f t="shared" si="0"/>
        <v>EJECUCION</v>
      </c>
      <c r="K9" s="17" t="str">
        <f t="shared" si="0"/>
        <v>EJECUCION</v>
      </c>
      <c r="L9" s="17" t="str">
        <f t="shared" si="0"/>
        <v>EJECUCION</v>
      </c>
      <c r="N9" s="5" t="s">
        <v>251</v>
      </c>
    </row>
    <row r="11" spans="2:14" ht="38.25" x14ac:dyDescent="0.25">
      <c r="C11" s="4" t="s">
        <v>119</v>
      </c>
      <c r="D11" s="4" t="s">
        <v>118</v>
      </c>
      <c r="E11" s="4" t="s">
        <v>308</v>
      </c>
      <c r="F11" s="4" t="s">
        <v>105</v>
      </c>
      <c r="G11" s="4" t="s">
        <v>214</v>
      </c>
      <c r="H11" s="4" t="s">
        <v>165</v>
      </c>
      <c r="I11" s="4" t="s">
        <v>215</v>
      </c>
      <c r="J11" s="4" t="s">
        <v>216</v>
      </c>
      <c r="K11" s="4" t="s">
        <v>217</v>
      </c>
      <c r="L11" s="4" t="s">
        <v>218</v>
      </c>
      <c r="N11" s="4" t="s">
        <v>218</v>
      </c>
    </row>
    <row r="13" spans="2:14" x14ac:dyDescent="0.25">
      <c r="B13" t="s">
        <v>119</v>
      </c>
      <c r="C13" s="9">
        <f>IFERROR(GETPIVOTDATA("[Measures].[Suma de valor]",base!$A$3,"[IF].[departamento_jerarquia2]","[IF].[departamento_jerarquia2].&amp;["&amp;C$5&amp;"]","[IF].[grupo_analisis]","[IF].[grupo_analisis].&amp;["&amp;$B13&amp;"]","[IF].[mes]","[IF].[mes].&amp;["&amp;C$8&amp;"]","[IF].[ano]","[IF].[ano].&amp;["&amp;C$7&amp;"]","[IF].[informacion]","[IF].[informacion].&amp;["&amp;C$9&amp;"]"),0)</f>
        <v>0</v>
      </c>
      <c r="D13" s="9">
        <f>IFERROR(GETPIVOTDATA("[Measures].[Suma de valor]",base!$A$3,"[IF].[departamento_jerarquia2]","[IF].[departamento_jerarquia2].&amp;["&amp;D$5&amp;"]","[IF].[grupo_analisis]","[IF].[grupo_analisis].&amp;["&amp;$B13&amp;"]","[IF].[mes]","[IF].[mes].&amp;["&amp;D$8&amp;"]","[IF].[ano]","[IF].[ano].&amp;["&amp;D$7&amp;"]","[IF].[informacion]","[IF].[informacion].&amp;["&amp;D$9&amp;"]"),0)-E13</f>
        <v>0</v>
      </c>
      <c r="E13" s="9">
        <f>IFERROR(GETPIVOTDATA("[Measures].[Suma de valor]",base!$AN$5,"[IF].[grupo_analisis]","[IF].[grupo_analisis].&amp;["&amp;$B13&amp;"]","[IF].[mes]","[IF].[mes].&amp;["&amp;E$8&amp;"]","[IF].[ano]","[IF].[ano].&amp;["&amp;E$7&amp;"]","[IF].[informacion]","[IF].[informacion].&amp;["&amp;E$9&amp;"]"),0)</f>
        <v>0</v>
      </c>
      <c r="F13" s="9">
        <f>IFERROR(GETPIVOTDATA("[Measures].[Suma de valor]",base!$A$3,"[IF].[departamento_jerarquia2]","[IF].[departamento_jerarquia2].&amp;["&amp;F$5&amp;"]","[IF].[grupo_analisis]","[IF].[grupo_analisis].&amp;["&amp;$B13&amp;"]","[IF].[mes]","[IF].[mes].&amp;["&amp;F$8&amp;"]","[IF].[ano]","[IF].[ano].&amp;["&amp;F$7&amp;"]","[IF].[informacion]","[IF].[informacion].&amp;["&amp;F$9&amp;"]"),0)</f>
        <v>0</v>
      </c>
      <c r="G13" s="9">
        <f>IFERROR(GETPIVOTDATA("[Measures].[Suma de valor]",base!$A$3,"[IF].[departamento_jerarquia2]","[IF].[departamento_jerarquia2].&amp;["&amp;G$5&amp;"]","[IF].[grupo_analisis]","[IF].[grupo_analisis].&amp;["&amp;$B13&amp;"]","[IF].[mes]","[IF].[mes].&amp;["&amp;G$8&amp;"]","[IF].[ano]","[IF].[ano].&amp;["&amp;G$7&amp;"]","[IF].[informacion]","[IF].[informacion].&amp;["&amp;G$9&amp;"]"),0)</f>
        <v>0</v>
      </c>
      <c r="H13" s="9">
        <f>IFERROR(GETPIVOTDATA("[Measures].[Suma de valor]",base!$A$3,"[IF].[departamento_jerarquia2]","[IF].[departamento_jerarquia2].&amp;["&amp;H$5&amp;"]","[IF].[grupo_analisis]","[IF].[grupo_analisis].&amp;["&amp;$B13&amp;"]","[IF].[mes]","[IF].[mes].&amp;["&amp;H$8&amp;"]","[IF].[ano]","[IF].[ano].&amp;["&amp;H$7&amp;"]","[IF].[informacion]","[IF].[informacion].&amp;["&amp;H$9&amp;"]"),0)</f>
        <v>0</v>
      </c>
      <c r="I13" s="9">
        <f>IFERROR(GETPIVOTDATA("[Measures].[Suma de valor]",base!$A$3,"[IF].[departamento_jerarquia2]","[IF].[departamento_jerarquia2].&amp;["&amp;I$5&amp;"]","[IF].[grupo_analisis]","[IF].[grupo_analisis].&amp;["&amp;$B13&amp;"]","[IF].[mes]","[IF].[mes].&amp;["&amp;I$8&amp;"]","[IF].[ano]","[IF].[ano].&amp;["&amp;I$7&amp;"]","[IF].[informacion]","[IF].[informacion].&amp;["&amp;I$9&amp;"]"),0)</f>
        <v>0</v>
      </c>
      <c r="J13" s="9"/>
      <c r="K13" s="9"/>
      <c r="L13" s="12">
        <f t="shared" ref="L13:L38" si="1">SUM(C13:K13)</f>
        <v>0</v>
      </c>
      <c r="N13" s="12">
        <f t="shared" ref="N13:N20" si="2">L13</f>
        <v>0</v>
      </c>
    </row>
    <row r="14" spans="2:14" x14ac:dyDescent="0.25">
      <c r="B14" t="s">
        <v>118</v>
      </c>
      <c r="C14" s="9">
        <f>IFERROR(GETPIVOTDATA("[Measures].[Suma de valor]",base!$A$3,"[IF].[departamento_jerarquia2]","[IF].[departamento_jerarquia2].&amp;["&amp;C$5&amp;"]","[IF].[grupo_analisis]","[IF].[grupo_analisis].&amp;["&amp;$B14&amp;"]","[IF].[mes]","[IF].[mes].&amp;["&amp;C$8&amp;"]","[IF].[ano]","[IF].[ano].&amp;["&amp;C$7&amp;"]","[IF].[informacion]","[IF].[informacion].&amp;["&amp;C$9&amp;"]"),0)</f>
        <v>0</v>
      </c>
      <c r="D14" s="9">
        <f>IFERROR(GETPIVOTDATA("[Measures].[Suma de valor]",base!$A$3,"[IF].[departamento_jerarquia2]","[IF].[departamento_jerarquia2].&amp;["&amp;D$5&amp;"]","[IF].[grupo_analisis]","[IF].[grupo_analisis].&amp;["&amp;$B14&amp;"]","[IF].[mes]","[IF].[mes].&amp;["&amp;D$8&amp;"]","[IF].[ano]","[IF].[ano].&amp;["&amp;D$7&amp;"]","[IF].[informacion]","[IF].[informacion].&amp;["&amp;D$9&amp;"]"),0)-E14</f>
        <v>164.25585799999999</v>
      </c>
      <c r="E14" s="9">
        <f>IFERROR(GETPIVOTDATA("[Measures].[Suma de valor]",base!$AN$5,"[IF].[grupo_analisis]","[IF].[grupo_analisis].&amp;["&amp;$B14&amp;"]","[IF].[mes]","[IF].[mes].&amp;["&amp;E$8&amp;"]","[IF].[ano]","[IF].[ano].&amp;["&amp;E$7&amp;"]","[IF].[informacion]","[IF].[informacion].&amp;["&amp;E$9&amp;"]"),0)</f>
        <v>1217.620846</v>
      </c>
      <c r="F14" s="9">
        <f>IFERROR(GETPIVOTDATA("[Measures].[Suma de valor]",base!$A$3,"[IF].[departamento_jerarquia2]","[IF].[departamento_jerarquia2].&amp;["&amp;F$5&amp;"]","[IF].[grupo_analisis]","[IF].[grupo_analisis].&amp;["&amp;$B14&amp;"]","[IF].[mes]","[IF].[mes].&amp;["&amp;F$8&amp;"]","[IF].[ano]","[IF].[ano].&amp;["&amp;F$7&amp;"]","[IF].[informacion]","[IF].[informacion].&amp;["&amp;F$9&amp;"]"),0)</f>
        <v>0</v>
      </c>
      <c r="G14" s="9">
        <f>IFERROR(GETPIVOTDATA("[Measures].[Suma de valor]",base!$A$3,"[IF].[departamento_jerarquia2]","[IF].[departamento_jerarquia2].&amp;["&amp;G$5&amp;"]","[IF].[grupo_analisis]","[IF].[grupo_analisis].&amp;["&amp;$B14&amp;"]","[IF].[mes]","[IF].[mes].&amp;["&amp;G$8&amp;"]","[IF].[ano]","[IF].[ano].&amp;["&amp;G$7&amp;"]","[IF].[informacion]","[IF].[informacion].&amp;["&amp;G$9&amp;"]"),0)</f>
        <v>0</v>
      </c>
      <c r="H14" s="9">
        <f>IFERROR(GETPIVOTDATA("[Measures].[Suma de valor]",base!$A$3,"[IF].[departamento_jerarquia2]","[IF].[departamento_jerarquia2].&amp;["&amp;H$5&amp;"]","[IF].[grupo_analisis]","[IF].[grupo_analisis].&amp;["&amp;$B14&amp;"]","[IF].[mes]","[IF].[mes].&amp;["&amp;H$8&amp;"]","[IF].[ano]","[IF].[ano].&amp;["&amp;H$7&amp;"]","[IF].[informacion]","[IF].[informacion].&amp;["&amp;H$9&amp;"]"),0)</f>
        <v>0</v>
      </c>
      <c r="I14" s="9">
        <f>IFERROR(GETPIVOTDATA("[Measures].[Suma de valor]",base!$A$3,"[IF].[departamento_jerarquia2]","[IF].[departamento_jerarquia2].&amp;["&amp;I$5&amp;"]","[IF].[grupo_analisis]","[IF].[grupo_analisis].&amp;["&amp;$B14&amp;"]","[IF].[mes]","[IF].[mes].&amp;["&amp;I$8&amp;"]","[IF].[ano]","[IF].[ano].&amp;["&amp;I$7&amp;"]","[IF].[informacion]","[IF].[informacion].&amp;["&amp;I$9&amp;"]"),0)</f>
        <v>0</v>
      </c>
      <c r="J14" s="9"/>
      <c r="K14" s="9"/>
      <c r="L14" s="12">
        <f t="shared" si="1"/>
        <v>1381.876704</v>
      </c>
      <c r="N14" s="12">
        <f t="shared" si="2"/>
        <v>1381.876704</v>
      </c>
    </row>
    <row r="15" spans="2:14" x14ac:dyDescent="0.25">
      <c r="B15" t="s">
        <v>116</v>
      </c>
      <c r="C15" s="9">
        <f>IFERROR(GETPIVOTDATA("[Measures].[Suma de valor]",base!$A$3,"[IF].[departamento_jerarquia2]","[IF].[departamento_jerarquia2].&amp;["&amp;C$5&amp;"]","[IF].[grupo_analisis]","[IF].[grupo_analisis].&amp;["&amp;$B15&amp;"]","[IF].[mes]","[IF].[mes].&amp;["&amp;C$8&amp;"]","[IF].[ano]","[IF].[ano].&amp;["&amp;C$7&amp;"]","[IF].[informacion]","[IF].[informacion].&amp;["&amp;C$9&amp;"]"),0)-C18</f>
        <v>-3.48</v>
      </c>
      <c r="D15" s="9">
        <f>IFERROR(GETPIVOTDATA("[Measures].[Suma de valor]",base!$A$3,"[IF].[departamento_jerarquia2]","[IF].[departamento_jerarquia2].&amp;["&amp;D$5&amp;"]","[IF].[grupo_analisis]","[IF].[grupo_analisis].&amp;["&amp;$B15&amp;"]","[IF].[mes]","[IF].[mes].&amp;["&amp;D$8&amp;"]","[IF].[ano]","[IF].[ano].&amp;["&amp;D$7&amp;"]","[IF].[informacion]","[IF].[informacion].&amp;["&amp;D$9&amp;"]"),0)-E15-D18</f>
        <v>10.242647000000005</v>
      </c>
      <c r="E15" s="9">
        <f>IFERROR(GETPIVOTDATA("[Measures].[Suma de valor]",base!$AN$5,"[IF].[grupo_analisis]","[IF].[grupo_analisis].&amp;["&amp;$B15&amp;"]","[IF].[mes]","[IF].[mes].&amp;["&amp;E$8&amp;"]","[IF].[ano]","[IF].[ano].&amp;["&amp;E$7&amp;"]","[IF].[informacion]","[IF].[informacion].&amp;["&amp;E$9&amp;"]"),0)</f>
        <v>33.893836</v>
      </c>
      <c r="F15" s="9">
        <f>IFERROR(GETPIVOTDATA("[Measures].[Suma de valor]",base!$A$3,"[IF].[departamento_jerarquia2]","[IF].[departamento_jerarquia2].&amp;["&amp;F$5&amp;"]","[IF].[grupo_analisis]","[IF].[grupo_analisis].&amp;["&amp;$B15&amp;"]","[IF].[mes]","[IF].[mes].&amp;["&amp;F$8&amp;"]","[IF].[ano]","[IF].[ano].&amp;["&amp;F$7&amp;"]","[IF].[informacion]","[IF].[informacion].&amp;["&amp;F$9&amp;"]"),0)-F18</f>
        <v>0</v>
      </c>
      <c r="G15" s="9">
        <f>IFERROR(GETPIVOTDATA("[Measures].[Suma de valor]",base!$A$3,"[IF].[departamento_jerarquia2]","[IF].[departamento_jerarquia2].&amp;["&amp;G$5&amp;"]","[IF].[grupo_analisis]","[IF].[grupo_analisis].&amp;["&amp;$B15&amp;"]","[IF].[mes]","[IF].[mes].&amp;["&amp;G$8&amp;"]","[IF].[ano]","[IF].[ano].&amp;["&amp;G$7&amp;"]","[IF].[informacion]","[IF].[informacion].&amp;["&amp;G$9&amp;"]"),0)-G18</f>
        <v>0</v>
      </c>
      <c r="H15" s="9">
        <f>IFERROR(GETPIVOTDATA("[Measures].[Suma de valor]",base!$A$3,"[IF].[departamento_jerarquia2]","[IF].[departamento_jerarquia2].&amp;["&amp;H$5&amp;"]","[IF].[grupo_analisis]","[IF].[grupo_analisis].&amp;["&amp;$B15&amp;"]","[IF].[mes]","[IF].[mes].&amp;["&amp;H$8&amp;"]","[IF].[ano]","[IF].[ano].&amp;["&amp;H$7&amp;"]","[IF].[informacion]","[IF].[informacion].&amp;["&amp;H$9&amp;"]"),0)-H18</f>
        <v>0</v>
      </c>
      <c r="I15" s="9">
        <f>IFERROR(GETPIVOTDATA("[Measures].[Suma de valor]",base!$A$3,"[IF].[departamento_jerarquia2]","[IF].[departamento_jerarquia2].&amp;["&amp;I$5&amp;"]","[IF].[grupo_analisis]","[IF].[grupo_analisis].&amp;["&amp;$B15&amp;"]","[IF].[mes]","[IF].[mes].&amp;["&amp;I$8&amp;"]","[IF].[ano]","[IF].[ano].&amp;["&amp;I$7&amp;"]","[IF].[informacion]","[IF].[informacion].&amp;["&amp;I$9&amp;"]"),0)-I18</f>
        <v>0</v>
      </c>
      <c r="J15" s="9"/>
      <c r="K15" s="9"/>
      <c r="L15" s="12">
        <f t="shared" si="1"/>
        <v>40.656483000000009</v>
      </c>
      <c r="N15" s="12">
        <f t="shared" si="2"/>
        <v>40.656483000000009</v>
      </c>
    </row>
    <row r="16" spans="2:14" x14ac:dyDescent="0.25">
      <c r="B16" t="s">
        <v>117</v>
      </c>
      <c r="C16" s="9">
        <f>IFERROR(GETPIVOTDATA("[Measures].[Suma de valor]",base!$A$3,"[IF].[departamento_jerarquia2]","[IF].[departamento_jerarquia2].&amp;["&amp;C$5&amp;"]","[IF].[grupo_analisis]","[IF].[grupo_analisis].&amp;["&amp;$B16&amp;"]","[IF].[mes]","[IF].[mes].&amp;["&amp;C$8&amp;"]","[IF].[ano]","[IF].[ano].&amp;["&amp;C$7&amp;"]","[IF].[informacion]","[IF].[informacion].&amp;["&amp;C$9&amp;"]"),0)</f>
        <v>0</v>
      </c>
      <c r="D16" s="9">
        <f>IFERROR(GETPIVOTDATA("[Measures].[Suma de valor]",base!$A$3,"[IF].[departamento_jerarquia2]","[IF].[departamento_jerarquia2].&amp;["&amp;D$5&amp;"]","[IF].[grupo_analisis]","[IF].[grupo_analisis].&amp;["&amp;$B16&amp;"]","[IF].[mes]","[IF].[mes].&amp;["&amp;D$8&amp;"]","[IF].[ano]","[IF].[ano].&amp;["&amp;D$7&amp;"]","[IF].[informacion]","[IF].[informacion].&amp;["&amp;D$9&amp;"]"),0)-E16</f>
        <v>0</v>
      </c>
      <c r="E16" s="9">
        <f>IFERROR(GETPIVOTDATA("[Measures].[Suma de valor]",base!$AN$5,"[IF].[grupo_analisis]","[IF].[grupo_analisis].&amp;["&amp;$B16&amp;"]","[IF].[mes]","[IF].[mes].&amp;["&amp;E$8&amp;"]","[IF].[ano]","[IF].[ano].&amp;["&amp;E$7&amp;"]","[IF].[informacion]","[IF].[informacion].&amp;["&amp;E$9&amp;"]"),0)</f>
        <v>0</v>
      </c>
      <c r="F16" s="9">
        <f>IFERROR(GETPIVOTDATA("[Measures].[Suma de valor]",base!$A$3,"[IF].[departamento_jerarquia2]","[IF].[departamento_jerarquia2].&amp;["&amp;F$5&amp;"]","[IF].[grupo_analisis]","[IF].[grupo_analisis].&amp;["&amp;$B16&amp;"]","[IF].[mes]","[IF].[mes].&amp;["&amp;F$8&amp;"]","[IF].[ano]","[IF].[ano].&amp;["&amp;F$7&amp;"]","[IF].[informacion]","[IF].[informacion].&amp;["&amp;F$9&amp;"]"),0)</f>
        <v>0</v>
      </c>
      <c r="G16" s="9">
        <f>IFERROR(GETPIVOTDATA("[Measures].[Suma de valor]",base!$A$3,"[IF].[departamento_jerarquia2]","[IF].[departamento_jerarquia2].&amp;["&amp;G$5&amp;"]","[IF].[grupo_analisis]","[IF].[grupo_analisis].&amp;["&amp;$B16&amp;"]","[IF].[mes]","[IF].[mes].&amp;["&amp;G$8&amp;"]","[IF].[ano]","[IF].[ano].&amp;["&amp;G$7&amp;"]","[IF].[informacion]","[IF].[informacion].&amp;["&amp;G$9&amp;"]"),0)</f>
        <v>0</v>
      </c>
      <c r="H16" s="9">
        <f>IFERROR(GETPIVOTDATA("[Measures].[Suma de valor]",base!$A$3,"[IF].[departamento_jerarquia2]","[IF].[departamento_jerarquia2].&amp;["&amp;H$5&amp;"]","[IF].[grupo_analisis]","[IF].[grupo_analisis].&amp;["&amp;$B16&amp;"]","[IF].[mes]","[IF].[mes].&amp;["&amp;H$8&amp;"]","[IF].[ano]","[IF].[ano].&amp;["&amp;H$7&amp;"]","[IF].[informacion]","[IF].[informacion].&amp;["&amp;H$9&amp;"]"),0)</f>
        <v>0</v>
      </c>
      <c r="I16" s="9">
        <f>IFERROR(GETPIVOTDATA("[Measures].[Suma de valor]",base!$A$3,"[IF].[departamento_jerarquia2]","[IF].[departamento_jerarquia2].&amp;["&amp;I$5&amp;"]","[IF].[grupo_analisis]","[IF].[grupo_analisis].&amp;["&amp;$B16&amp;"]","[IF].[mes]","[IF].[mes].&amp;["&amp;I$8&amp;"]","[IF].[ano]","[IF].[ano].&amp;["&amp;I$7&amp;"]","[IF].[informacion]","[IF].[informacion].&amp;["&amp;I$9&amp;"]"),0)</f>
        <v>0</v>
      </c>
      <c r="J16" s="9"/>
      <c r="K16" s="9"/>
      <c r="L16" s="12">
        <f t="shared" si="1"/>
        <v>0</v>
      </c>
      <c r="N16" s="12">
        <f t="shared" si="2"/>
        <v>0</v>
      </c>
    </row>
    <row r="17" spans="1:14" x14ac:dyDescent="0.25">
      <c r="B17" t="s">
        <v>105</v>
      </c>
      <c r="C17" s="9">
        <f>IFERROR(GETPIVOTDATA("[Measures].[Suma de valor]",base!$A$3,"[IF].[departamento_jerarquia2]","[IF].[departamento_jerarquia2].&amp;["&amp;C$5&amp;"]","[IF].[grupo_analisis]","[IF].[grupo_analisis].&amp;["&amp;$B17&amp;"]","[IF].[mes]","[IF].[mes].&amp;["&amp;C$8&amp;"]","[IF].[ano]","[IF].[ano].&amp;["&amp;C$7&amp;"]","[IF].[informacion]","[IF].[informacion].&amp;["&amp;C$9&amp;"]"),0)</f>
        <v>0</v>
      </c>
      <c r="D17" s="9">
        <f>IFERROR(GETPIVOTDATA("[Measures].[Suma de valor]",base!$A$3,"[IF].[departamento_jerarquia2]","[IF].[departamento_jerarquia2].&amp;["&amp;D$5&amp;"]","[IF].[grupo_analisis]","[IF].[grupo_analisis].&amp;["&amp;$B17&amp;"]","[IF].[mes]","[IF].[mes].&amp;["&amp;D$8&amp;"]","[IF].[ano]","[IF].[ano].&amp;["&amp;D$7&amp;"]","[IF].[informacion]","[IF].[informacion].&amp;["&amp;D$9&amp;"]"),0)-E17</f>
        <v>0</v>
      </c>
      <c r="E17" s="9">
        <f>IFERROR(GETPIVOTDATA("[Measures].[Suma de valor]",base!$AN$5,"[IF].[grupo_analisis]","[IF].[grupo_analisis].&amp;["&amp;$B17&amp;"]","[IF].[mes]","[IF].[mes].&amp;["&amp;E$8&amp;"]","[IF].[ano]","[IF].[ano].&amp;["&amp;E$7&amp;"]","[IF].[informacion]","[IF].[informacion].&amp;["&amp;E$9&amp;"]"),0)</f>
        <v>0</v>
      </c>
      <c r="F17" s="9">
        <f>IFERROR(GETPIVOTDATA("[Measures].[Suma de valor]",base!$A$3,"[IF].[departamento_jerarquia2]","[IF].[departamento_jerarquia2].&amp;["&amp;F$5&amp;"]","[IF].[grupo_analisis]","[IF].[grupo_analisis].&amp;["&amp;$B17&amp;"]","[IF].[mes]","[IF].[mes].&amp;["&amp;F$8&amp;"]","[IF].[ano]","[IF].[ano].&amp;["&amp;F$7&amp;"]","[IF].[informacion]","[IF].[informacion].&amp;["&amp;F$9&amp;"]"),0)</f>
        <v>0</v>
      </c>
      <c r="G17" s="9">
        <f>IFERROR(GETPIVOTDATA("[Measures].[Suma de valor]",base!$A$3,"[IF].[departamento_jerarquia2]","[IF].[departamento_jerarquia2].&amp;["&amp;G$5&amp;"]","[IF].[grupo_analisis]","[IF].[grupo_analisis].&amp;["&amp;$B17&amp;"]","[IF].[mes]","[IF].[mes].&amp;["&amp;G$8&amp;"]","[IF].[ano]","[IF].[ano].&amp;["&amp;G$7&amp;"]","[IF].[informacion]","[IF].[informacion].&amp;["&amp;G$9&amp;"]"),0)</f>
        <v>0</v>
      </c>
      <c r="H17" s="9">
        <f>IFERROR(GETPIVOTDATA("[Measures].[Suma de valor]",base!$A$3,"[IF].[departamento_jerarquia2]","[IF].[departamento_jerarquia2].&amp;["&amp;H$5&amp;"]","[IF].[grupo_analisis]","[IF].[grupo_analisis].&amp;["&amp;$B17&amp;"]","[IF].[mes]","[IF].[mes].&amp;["&amp;H$8&amp;"]","[IF].[ano]","[IF].[ano].&amp;["&amp;H$7&amp;"]","[IF].[informacion]","[IF].[informacion].&amp;["&amp;H$9&amp;"]"),0)</f>
        <v>0</v>
      </c>
      <c r="I17" s="9">
        <f>IFERROR(GETPIVOTDATA("[Measures].[Suma de valor]",base!$A$3,"[IF].[departamento_jerarquia2]","[IF].[departamento_jerarquia2].&amp;["&amp;I$5&amp;"]","[IF].[grupo_analisis]","[IF].[grupo_analisis].&amp;["&amp;$B17&amp;"]","[IF].[mes]","[IF].[mes].&amp;["&amp;I$8&amp;"]","[IF].[ano]","[IF].[ano].&amp;["&amp;I$7&amp;"]","[IF].[informacion]","[IF].[informacion].&amp;["&amp;I$9&amp;"]"),0)</f>
        <v>262.10646800000001</v>
      </c>
      <c r="J17" s="9"/>
      <c r="K17" s="9"/>
      <c r="L17" s="12">
        <f t="shared" si="1"/>
        <v>262.10646800000001</v>
      </c>
      <c r="N17" s="12">
        <f t="shared" si="2"/>
        <v>262.10646800000001</v>
      </c>
    </row>
    <row r="18" spans="1:14" x14ac:dyDescent="0.25">
      <c r="B18" t="s">
        <v>165</v>
      </c>
      <c r="C18" s="9">
        <f>IFERROR(GETPIVOTDATA("[Measures].[Suma de valor]",base!$AD$4,"[IF].[mes]","[IF].[mes].&amp;["&amp;C$8&amp;"]","[IF].[ano]","[IF].[ano].&amp;["&amp;C$7&amp;"]","[IF].[informacion]","[IF].[informacion].&amp;["&amp;C$9&amp;"]","[IF].[nombre_cuenta]","[IF].[nombre_cuenta].&amp;[VACACIONALES]"),0)</f>
        <v>3.48</v>
      </c>
      <c r="D18" s="9">
        <f>IFERROR(GETPIVOTDATA("[Measures].[Suma de valor]",base!$U$3,"[IF].[departamento_jerarquia2]","[IF].[departamento_jerarquia2].&amp;["&amp;D$5&amp;"]","[IF].[mes]","[IF].[mes].&amp;["&amp;D$8&amp;"]","[IF].[ano]","[IF].[ano].&amp;["&amp;D$7&amp;"]","[IF].[informacion]","[IF].[informacion].&amp;["&amp;D$9&amp;"]","[IF].[nombre_cuenta]","[IF].[nombre_cuenta].&amp;["&amp;$B18&amp;"]"),0)-E18</f>
        <v>0</v>
      </c>
      <c r="E18" s="9">
        <f>IFERROR(GETPIVOTDATA("[Measures].[Suma de valor]",base!$AN$5,"[IF].[grupo_analisis]","[IF].[grupo_analisis].&amp;["&amp;$B18&amp;"]","[IF].[mes]","[IF].[mes].&amp;["&amp;E$8&amp;"]","[IF].[ano]","[IF].[ano].&amp;["&amp;E$7&amp;"]","[IF].[informacion]","[IF].[informacion].&amp;["&amp;E$9&amp;"]"),0)</f>
        <v>0</v>
      </c>
      <c r="F18" s="9">
        <f>IFERROR(GETPIVOTDATA("[Measures].[Suma de valor]",base!$U$3,"[IF].[departamento_jerarquia2]","[IF].[departamento_jerarquia2].&amp;["&amp;F$5&amp;"]","[IF].[mes]","[IF].[mes].&amp;["&amp;F$8&amp;"]","[IF].[ano]","[IF].[ano].&amp;["&amp;F$7&amp;"]","[IF].[informacion]","[IF].[informacion].&amp;["&amp;F$9&amp;"]","[IF].[nombre_cuenta]","[IF].[nombre_cuenta].&amp;["&amp;$B18&amp;"]"),0)</f>
        <v>0</v>
      </c>
      <c r="G18" s="9">
        <f>IFERROR(GETPIVOTDATA("[Measures].[Suma de valor]",base!$U$3,"[IF].[departamento_jerarquia2]","[IF].[departamento_jerarquia2].&amp;["&amp;G$5&amp;"]","[IF].[mes]","[IF].[mes].&amp;["&amp;G$8&amp;"]","[IF].[ano]","[IF].[ano].&amp;["&amp;G$7&amp;"]","[IF].[informacion]","[IF].[informacion].&amp;["&amp;G$9&amp;"]","[IF].[nombre_cuenta]","[IF].[nombre_cuenta].&amp;["&amp;$B18&amp;"]"),0)</f>
        <v>0</v>
      </c>
      <c r="H18" s="9">
        <f>IFERROR(GETPIVOTDATA("[Measures].[Suma de valor]",base!$U$3,"[IF].[departamento_jerarquia2]","[IF].[departamento_jerarquia2].&amp;["&amp;H$5&amp;"]","[IF].[mes]","[IF].[mes].&amp;["&amp;H$8&amp;"]","[IF].[ano]","[IF].[ano].&amp;["&amp;H$7&amp;"]","[IF].[informacion]","[IF].[informacion].&amp;["&amp;H$9&amp;"]","[IF].[nombre_cuenta]","[IF].[nombre_cuenta].&amp;["&amp;$B18&amp;"]"),0)</f>
        <v>0</v>
      </c>
      <c r="I18" s="9">
        <f>IFERROR(GETPIVOTDATA("[Measures].[Suma de valor]",base!$U$3,"[IF].[departamento_jerarquia2]","[IF].[departamento_jerarquia2].&amp;["&amp;I$5&amp;"]","[IF].[mes]","[IF].[mes].&amp;["&amp;I$8&amp;"]","[IF].[ano]","[IF].[ano].&amp;["&amp;I$7&amp;"]","[IF].[informacion]","[IF].[informacion].&amp;["&amp;I$9&amp;"]","[IF].[nombre_cuenta]","[IF].[nombre_cuenta].&amp;["&amp;$B18&amp;"]"),0)</f>
        <v>0</v>
      </c>
      <c r="J18" s="9"/>
      <c r="K18" s="9"/>
      <c r="L18" s="12">
        <f t="shared" si="1"/>
        <v>3.48</v>
      </c>
      <c r="N18" s="12">
        <f t="shared" si="2"/>
        <v>3.48</v>
      </c>
    </row>
    <row r="19" spans="1:14" x14ac:dyDescent="0.25">
      <c r="B19" t="s">
        <v>101</v>
      </c>
      <c r="C19" s="9">
        <f>IFERROR(GETPIVOTDATA("[Measures].[Suma de valor]",base!$A$3,"[IF].[departamento_jerarquia2]","[IF].[departamento_jerarquia2].&amp;["&amp;C$5&amp;"]","[IF].[grupo_analisis]","[IF].[grupo_analisis].&amp;["&amp;$B19&amp;"]","[IF].[mes]","[IF].[mes].&amp;["&amp;C$8&amp;"]","[IF].[ano]","[IF].[ano].&amp;["&amp;C$7&amp;"]","[IF].[informacion]","[IF].[informacion].&amp;["&amp;C$9&amp;"]"),0)</f>
        <v>0</v>
      </c>
      <c r="D19" s="9">
        <f>IFERROR(GETPIVOTDATA("[Measures].[Suma de valor]",base!$A$3,"[IF].[departamento_jerarquia2]","[IF].[departamento_jerarquia2].&amp;["&amp;D$5&amp;"]","[IF].[grupo_analisis]","[IF].[grupo_analisis].&amp;["&amp;$B19&amp;"]","[IF].[mes]","[IF].[mes].&amp;["&amp;D$8&amp;"]","[IF].[ano]","[IF].[ano].&amp;["&amp;D$7&amp;"]","[IF].[informacion]","[IF].[informacion].&amp;["&amp;D$9&amp;"]"),0)-E19</f>
        <v>0</v>
      </c>
      <c r="E19" s="9">
        <f>IFERROR(GETPIVOTDATA("[Measures].[Suma de valor]",base!$AN$5,"[IF].[grupo_analisis]","[IF].[grupo_analisis].&amp;["&amp;$B19&amp;"]","[IF].[mes]","[IF].[mes].&amp;["&amp;E$8&amp;"]","[IF].[ano]","[IF].[ano].&amp;["&amp;E$7&amp;"]","[IF].[informacion]","[IF].[informacion].&amp;["&amp;E$9&amp;"]"),0)</f>
        <v>0</v>
      </c>
      <c r="F19" s="9">
        <f>IFERROR(GETPIVOTDATA("[Measures].[Suma de valor]",base!$A$3,"[IF].[departamento_jerarquia2]","[IF].[departamento_jerarquia2].&amp;["&amp;F$5&amp;"]","[IF].[grupo_analisis]","[IF].[grupo_analisis].&amp;["&amp;$B19&amp;"]","[IF].[mes]","[IF].[mes].&amp;["&amp;F$8&amp;"]","[IF].[ano]","[IF].[ano].&amp;["&amp;F$7&amp;"]","[IF].[informacion]","[IF].[informacion].&amp;["&amp;F$9&amp;"]"),0)</f>
        <v>0</v>
      </c>
      <c r="G19" s="9">
        <f>IFERROR(GETPIVOTDATA("[Measures].[Suma de valor]",base!$A$3,"[IF].[departamento_jerarquia2]","[IF].[departamento_jerarquia2].&amp;["&amp;G$5&amp;"]","[IF].[grupo_analisis]","[IF].[grupo_analisis].&amp;["&amp;$B19&amp;"]","[IF].[mes]","[IF].[mes].&amp;["&amp;G$8&amp;"]","[IF].[ano]","[IF].[ano].&amp;["&amp;G$7&amp;"]","[IF].[informacion]","[IF].[informacion].&amp;["&amp;G$9&amp;"]"),0)</f>
        <v>0</v>
      </c>
      <c r="H19" s="9">
        <f>IFERROR(GETPIVOTDATA("[Measures].[Suma de valor]",base!$A$3,"[IF].[departamento_jerarquia2]","[IF].[departamento_jerarquia2].&amp;["&amp;H$5&amp;"]","[IF].[grupo_analisis]","[IF].[grupo_analisis].&amp;["&amp;$B19&amp;"]","[IF].[mes]","[IF].[mes].&amp;["&amp;H$8&amp;"]","[IF].[ano]","[IF].[ano].&amp;["&amp;H$7&amp;"]","[IF].[informacion]","[IF].[informacion].&amp;["&amp;H$9&amp;"]"),0)</f>
        <v>0</v>
      </c>
      <c r="I19" s="9">
        <f>IFERROR(GETPIVOTDATA("[Measures].[Suma de valor]",base!$A$3,"[IF].[departamento_jerarquia2]","[IF].[departamento_jerarquia2].&amp;["&amp;I$5&amp;"]","[IF].[grupo_analisis]","[IF].[grupo_analisis].&amp;["&amp;$B19&amp;"]","[IF].[mes]","[IF].[mes].&amp;["&amp;I$8&amp;"]","[IF].[ano]","[IF].[ano].&amp;["&amp;I$7&amp;"]","[IF].[informacion]","[IF].[informacion].&amp;["&amp;I$9&amp;"]"),0)</f>
        <v>1151.3087800099997</v>
      </c>
      <c r="J19" s="9"/>
      <c r="K19" s="9"/>
      <c r="L19" s="12">
        <f t="shared" si="1"/>
        <v>1151.3087800099997</v>
      </c>
      <c r="N19" s="12">
        <f t="shared" si="2"/>
        <v>1151.3087800099997</v>
      </c>
    </row>
    <row r="20" spans="1:14" x14ac:dyDescent="0.25">
      <c r="B20" t="s">
        <v>121</v>
      </c>
      <c r="C20" s="9">
        <f>IFERROR(GETPIVOTDATA("[Measures].[Suma de valor]",base!$A$3,"[IF].[departamento_jerarquia2]","[IF].[departamento_jerarquia2].&amp;["&amp;C$5&amp;"]","[IF].[grupo_analisis]","[IF].[grupo_analisis].&amp;["&amp;$B20&amp;"]","[IF].[mes]","[IF].[mes].&amp;["&amp;C$8&amp;"]","[IF].[ano]","[IF].[ano].&amp;["&amp;C$7&amp;"]","[IF].[informacion]","[IF].[informacion].&amp;["&amp;C$9&amp;"]"),0)</f>
        <v>0</v>
      </c>
      <c r="D20" s="9">
        <f>IFERROR(GETPIVOTDATA("[Measures].[Suma de valor]",base!$A$3,"[IF].[departamento_jerarquia2]","[IF].[departamento_jerarquia2].&amp;["&amp;D$5&amp;"]","[IF].[grupo_analisis]","[IF].[grupo_analisis].&amp;["&amp;$B20&amp;"]","[IF].[mes]","[IF].[mes].&amp;["&amp;D$8&amp;"]","[IF].[ano]","[IF].[ano].&amp;["&amp;D$7&amp;"]","[IF].[informacion]","[IF].[informacion].&amp;["&amp;D$9&amp;"]"),0)-E20</f>
        <v>0</v>
      </c>
      <c r="E20" s="9">
        <f>IFERROR(GETPIVOTDATA("[Measures].[Suma de valor]",base!$AN$5,"[IF].[grupo_analisis]","[IF].[grupo_analisis].&amp;["&amp;$B20&amp;"]","[IF].[mes]","[IF].[mes].&amp;["&amp;E$8&amp;"]","[IF].[ano]","[IF].[ano].&amp;["&amp;E$7&amp;"]","[IF].[informacion]","[IF].[informacion].&amp;["&amp;E$9&amp;"]"),0)</f>
        <v>0</v>
      </c>
      <c r="F20" s="9">
        <f>IFERROR(GETPIVOTDATA("[Measures].[Suma de valor]",base!$A$3,"[IF].[departamento_jerarquia2]","[IF].[departamento_jerarquia2].&amp;["&amp;F$5&amp;"]","[IF].[grupo_analisis]","[IF].[grupo_analisis].&amp;["&amp;$B20&amp;"]","[IF].[mes]","[IF].[mes].&amp;["&amp;F$8&amp;"]","[IF].[ano]","[IF].[ano].&amp;["&amp;F$7&amp;"]","[IF].[informacion]","[IF].[informacion].&amp;["&amp;F$9&amp;"]"),0)</f>
        <v>0</v>
      </c>
      <c r="G20" s="9">
        <f>IFERROR(GETPIVOTDATA("[Measures].[Suma de valor]",base!$A$3,"[IF].[departamento_jerarquia2]","[IF].[departamento_jerarquia2].&amp;["&amp;G$5&amp;"]","[IF].[grupo_analisis]","[IF].[grupo_analisis].&amp;["&amp;$B20&amp;"]","[IF].[mes]","[IF].[mes].&amp;["&amp;G$8&amp;"]","[IF].[ano]","[IF].[ano].&amp;["&amp;G$7&amp;"]","[IF].[informacion]","[IF].[informacion].&amp;["&amp;G$9&amp;"]"),0)</f>
        <v>0</v>
      </c>
      <c r="H20" s="9">
        <f>IFERROR(GETPIVOTDATA("[Measures].[Suma de valor]",base!$A$3,"[IF].[departamento_jerarquia2]","[IF].[departamento_jerarquia2].&amp;["&amp;H$5&amp;"]","[IF].[grupo_analisis]","[IF].[grupo_analisis].&amp;["&amp;$B20&amp;"]","[IF].[mes]","[IF].[mes].&amp;["&amp;H$8&amp;"]","[IF].[ano]","[IF].[ano].&amp;["&amp;H$7&amp;"]","[IF].[informacion]","[IF].[informacion].&amp;["&amp;H$9&amp;"]"),0)</f>
        <v>0</v>
      </c>
      <c r="I20" s="9">
        <f>IFERROR(GETPIVOTDATA("[Measures].[Suma de valor]",base!$A$3,"[IF].[departamento_jerarquia2]","[IF].[departamento_jerarquia2].&amp;["&amp;I$5&amp;"]","[IF].[grupo_analisis]","[IF].[grupo_analisis].&amp;["&amp;$B20&amp;"]","[IF].[mes]","[IF].[mes].&amp;["&amp;I$8&amp;"]","[IF].[ano]","[IF].[ano].&amp;["&amp;I$7&amp;"]","[IF].[informacion]","[IF].[informacion].&amp;["&amp;I$9&amp;"]"),0)</f>
        <v>0</v>
      </c>
      <c r="J20" s="9"/>
      <c r="K20" s="9"/>
      <c r="L20" s="12">
        <f t="shared" si="1"/>
        <v>0</v>
      </c>
      <c r="N20" s="12">
        <f t="shared" si="2"/>
        <v>0</v>
      </c>
    </row>
    <row r="21" spans="1:14" collapsed="1" x14ac:dyDescent="0.25">
      <c r="B21" s="8" t="s">
        <v>113</v>
      </c>
      <c r="C21" s="10">
        <f t="shared" ref="C21:N21" si="3">SUM(C22:C37)</f>
        <v>0</v>
      </c>
      <c r="D21" s="10">
        <f t="shared" si="3"/>
        <v>0</v>
      </c>
      <c r="E21" s="10">
        <f t="shared" si="3"/>
        <v>18.05</v>
      </c>
      <c r="F21" s="10">
        <f t="shared" si="3"/>
        <v>0</v>
      </c>
      <c r="G21" s="10">
        <f t="shared" si="3"/>
        <v>0</v>
      </c>
      <c r="H21" s="10">
        <f t="shared" si="3"/>
        <v>0</v>
      </c>
      <c r="I21" s="10">
        <f t="shared" si="3"/>
        <v>42.185400000000001</v>
      </c>
      <c r="J21" s="10"/>
      <c r="K21" s="10"/>
      <c r="L21" s="13">
        <f t="shared" si="3"/>
        <v>60.235399999999998</v>
      </c>
      <c r="M21" s="8"/>
      <c r="N21" s="13">
        <f t="shared" si="3"/>
        <v>0</v>
      </c>
    </row>
    <row r="22" spans="1:14" hidden="1" outlineLevel="1" x14ac:dyDescent="0.25">
      <c r="A22" t="s">
        <v>132</v>
      </c>
      <c r="B22" t="s">
        <v>167</v>
      </c>
      <c r="C22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22&amp;"]"),0)</f>
        <v>0</v>
      </c>
      <c r="D22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22&amp;"]"),0)-E22</f>
        <v>0</v>
      </c>
      <c r="E22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valor]",base!$AW$5,"[IF].[mes]","[IF].[mes].&amp;["&amp;E$8&amp;"]","[IF].[ano]","[IF].[ano].&amp;["&amp;E$7&amp;"]","[IF].[informacion]","[IF].[informacion].&amp;["&amp;E$9&amp;"]","[IF].[cuenta_ppto]","[IF].[cuenta_ppto].&amp;["&amp;$A22&amp;"]"),0)</f>
        <v>18.05</v>
      </c>
      <c r="F22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22&amp;"]"),0)</f>
        <v>0</v>
      </c>
      <c r="G22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22&amp;"]"),0)</f>
        <v>0</v>
      </c>
      <c r="H22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22&amp;"]"),0)</f>
        <v>0</v>
      </c>
      <c r="I22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22&amp;"]"),0)</f>
        <v>8.6999999999999993</v>
      </c>
      <c r="J22" s="11"/>
      <c r="K22" s="11"/>
      <c r="L22" s="123">
        <f t="shared" si="1"/>
        <v>26.75</v>
      </c>
      <c r="N22" s="11"/>
    </row>
    <row r="23" spans="1:14" hidden="1" outlineLevel="1" x14ac:dyDescent="0.25">
      <c r="A23" t="s">
        <v>133</v>
      </c>
      <c r="B23" t="s">
        <v>168</v>
      </c>
      <c r="C23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23&amp;"]"),0)</f>
        <v>0</v>
      </c>
      <c r="D23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23&amp;"]"),0)-E23</f>
        <v>0</v>
      </c>
      <c r="E23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valor]",base!$AW$5,"[IF].[mes]","[IF].[mes].&amp;["&amp;E$8&amp;"]","[IF].[ano]","[IF].[ano].&amp;["&amp;E$7&amp;"]","[IF].[informacion]","[IF].[informacion].&amp;["&amp;E$9&amp;"]","[IF].[cuenta_ppto]","[IF].[cuenta_ppto].&amp;["&amp;$A23&amp;"]"),0)</f>
        <v>0</v>
      </c>
      <c r="F23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23&amp;"]"),0)</f>
        <v>0</v>
      </c>
      <c r="G23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23&amp;"]"),0)</f>
        <v>0</v>
      </c>
      <c r="H23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23&amp;"]"),0)</f>
        <v>0</v>
      </c>
      <c r="I23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23&amp;"]"),0)</f>
        <v>33.485399999999998</v>
      </c>
      <c r="J23" s="11"/>
      <c r="K23" s="11"/>
      <c r="L23" s="124">
        <f t="shared" si="1"/>
        <v>33.485399999999998</v>
      </c>
      <c r="N23" s="11"/>
    </row>
    <row r="24" spans="1:14" hidden="1" outlineLevel="1" x14ac:dyDescent="0.25">
      <c r="A24" t="s">
        <v>134</v>
      </c>
      <c r="B24" t="s">
        <v>169</v>
      </c>
      <c r="C24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24&amp;"]"),0)</f>
        <v>0</v>
      </c>
      <c r="D24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24&amp;"]"),0)-E24</f>
        <v>0</v>
      </c>
      <c r="E24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valor]",base!$AW$5,"[IF].[mes]","[IF].[mes].&amp;["&amp;E$8&amp;"]","[IF].[ano]","[IF].[ano].&amp;["&amp;E$7&amp;"]","[IF].[informacion]","[IF].[informacion].&amp;["&amp;E$9&amp;"]","[IF].[cuenta_ppto]","[IF].[cuenta_ppto].&amp;["&amp;$A24&amp;"]"),0)</f>
        <v>0</v>
      </c>
      <c r="F24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24&amp;"]"),0)</f>
        <v>0</v>
      </c>
      <c r="G24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24&amp;"]"),0)</f>
        <v>0</v>
      </c>
      <c r="H24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24&amp;"]"),0)</f>
        <v>0</v>
      </c>
      <c r="I24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24&amp;"]"),0)</f>
        <v>0</v>
      </c>
      <c r="J24" s="11"/>
      <c r="K24" s="11"/>
      <c r="L24" s="11">
        <f t="shared" si="1"/>
        <v>0</v>
      </c>
      <c r="N24" s="11"/>
    </row>
    <row r="25" spans="1:14" hidden="1" outlineLevel="1" x14ac:dyDescent="0.25">
      <c r="A25" t="s">
        <v>135</v>
      </c>
      <c r="B25" t="s">
        <v>170</v>
      </c>
      <c r="C25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25&amp;"]"),0)</f>
        <v>0</v>
      </c>
      <c r="D25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25&amp;"]"),0)-E25</f>
        <v>0</v>
      </c>
      <c r="E25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valor]",base!$AW$5,"[IF].[mes]","[IF].[mes].&amp;["&amp;E$8&amp;"]","[IF].[ano]","[IF].[ano].&amp;["&amp;E$7&amp;"]","[IF].[informacion]","[IF].[informacion].&amp;["&amp;E$9&amp;"]","[IF].[cuenta_ppto]","[IF].[cuenta_ppto].&amp;["&amp;$A25&amp;"]"),0)</f>
        <v>0</v>
      </c>
      <c r="F25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25&amp;"]"),0)</f>
        <v>0</v>
      </c>
      <c r="G25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25&amp;"]"),0)</f>
        <v>0</v>
      </c>
      <c r="H25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25&amp;"]"),0)</f>
        <v>0</v>
      </c>
      <c r="I25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25&amp;"]"),0)</f>
        <v>0</v>
      </c>
      <c r="J25" s="11"/>
      <c r="K25" s="11"/>
      <c r="L25" s="11">
        <f t="shared" si="1"/>
        <v>0</v>
      </c>
      <c r="N25" s="11"/>
    </row>
    <row r="26" spans="1:14" hidden="1" outlineLevel="1" x14ac:dyDescent="0.25">
      <c r="A26" t="s">
        <v>136</v>
      </c>
      <c r="B26" t="s">
        <v>171</v>
      </c>
      <c r="C26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26&amp;"]"),0)</f>
        <v>0</v>
      </c>
      <c r="D26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26&amp;"]"),0)-E26</f>
        <v>0</v>
      </c>
      <c r="E26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valor]",base!$AW$5,"[IF].[mes]","[IF].[mes].&amp;["&amp;E$8&amp;"]","[IF].[ano]","[IF].[ano].&amp;["&amp;E$7&amp;"]","[IF].[informacion]","[IF].[informacion].&amp;["&amp;E$9&amp;"]","[IF].[cuenta_ppto]","[IF].[cuenta_ppto].&amp;["&amp;$A26&amp;"]"),0)</f>
        <v>0</v>
      </c>
      <c r="F26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26&amp;"]"),0)</f>
        <v>0</v>
      </c>
      <c r="G26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26&amp;"]"),0)</f>
        <v>0</v>
      </c>
      <c r="H26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26&amp;"]"),0)</f>
        <v>0</v>
      </c>
      <c r="I26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26&amp;"]"),0)</f>
        <v>0</v>
      </c>
      <c r="J26" s="11"/>
      <c r="K26" s="11"/>
      <c r="L26" s="11">
        <f t="shared" si="1"/>
        <v>0</v>
      </c>
      <c r="N26" s="11"/>
    </row>
    <row r="27" spans="1:14" hidden="1" outlineLevel="1" x14ac:dyDescent="0.25">
      <c r="A27" t="s">
        <v>137</v>
      </c>
      <c r="B27" t="s">
        <v>172</v>
      </c>
      <c r="C27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27&amp;"]"),0)</f>
        <v>0</v>
      </c>
      <c r="D27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27&amp;"]"),0)-E27</f>
        <v>0</v>
      </c>
      <c r="E27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valor]",base!$AW$5,"[IF].[mes]","[IF].[mes].&amp;["&amp;E$8&amp;"]","[IF].[ano]","[IF].[ano].&amp;["&amp;E$7&amp;"]","[IF].[informacion]","[IF].[informacion].&amp;["&amp;E$9&amp;"]","[IF].[cuenta_ppto]","[IF].[cuenta_ppto].&amp;["&amp;$A27&amp;"]"),0)</f>
        <v>0</v>
      </c>
      <c r="F27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27&amp;"]"),0)</f>
        <v>0</v>
      </c>
      <c r="G27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27&amp;"]"),0)</f>
        <v>0</v>
      </c>
      <c r="H27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27&amp;"]"),0)</f>
        <v>0</v>
      </c>
      <c r="I27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27&amp;"]"),0)</f>
        <v>0</v>
      </c>
      <c r="J27" s="11"/>
      <c r="K27" s="11"/>
      <c r="L27" s="11">
        <f t="shared" si="1"/>
        <v>0</v>
      </c>
      <c r="N27" s="11"/>
    </row>
    <row r="28" spans="1:14" hidden="1" outlineLevel="1" x14ac:dyDescent="0.25">
      <c r="A28" t="s">
        <v>138</v>
      </c>
      <c r="B28" t="s">
        <v>173</v>
      </c>
      <c r="C28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28&amp;"]"),0)</f>
        <v>0</v>
      </c>
      <c r="D28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28&amp;"]"),0)-E28</f>
        <v>0</v>
      </c>
      <c r="E28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valor]",base!$AW$5,"[IF].[mes]","[IF].[mes].&amp;["&amp;E$8&amp;"]","[IF].[ano]","[IF].[ano].&amp;["&amp;E$7&amp;"]","[IF].[informacion]","[IF].[informacion].&amp;["&amp;E$9&amp;"]","[IF].[cuenta_ppto]","[IF].[cuenta_ppto].&amp;["&amp;$A28&amp;"]"),0)</f>
        <v>0</v>
      </c>
      <c r="F28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28&amp;"]"),0)</f>
        <v>0</v>
      </c>
      <c r="G28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28&amp;"]"),0)</f>
        <v>0</v>
      </c>
      <c r="H28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28&amp;"]"),0)</f>
        <v>0</v>
      </c>
      <c r="I28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28&amp;"]"),0)</f>
        <v>0</v>
      </c>
      <c r="J28" s="11"/>
      <c r="K28" s="11"/>
      <c r="L28" s="11">
        <f t="shared" si="1"/>
        <v>0</v>
      </c>
      <c r="N28" s="11"/>
    </row>
    <row r="29" spans="1:14" hidden="1" outlineLevel="1" x14ac:dyDescent="0.25">
      <c r="A29" t="s">
        <v>139</v>
      </c>
      <c r="B29" t="s">
        <v>174</v>
      </c>
      <c r="C29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29&amp;"]"),0)</f>
        <v>0</v>
      </c>
      <c r="D29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29&amp;"]"),0)-E29</f>
        <v>0</v>
      </c>
      <c r="E29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valor]",base!$AW$5,"[IF].[mes]","[IF].[mes].&amp;["&amp;E$8&amp;"]","[IF].[ano]","[IF].[ano].&amp;["&amp;E$7&amp;"]","[IF].[informacion]","[IF].[informacion].&amp;["&amp;E$9&amp;"]","[IF].[cuenta_ppto]","[IF].[cuenta_ppto].&amp;["&amp;$A29&amp;"]"),0)</f>
        <v>0</v>
      </c>
      <c r="F29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29&amp;"]"),0)</f>
        <v>0</v>
      </c>
      <c r="G29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29&amp;"]"),0)</f>
        <v>0</v>
      </c>
      <c r="H29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29&amp;"]"),0)</f>
        <v>0</v>
      </c>
      <c r="I29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29&amp;"]"),0)</f>
        <v>0</v>
      </c>
      <c r="J29" s="11"/>
      <c r="K29" s="11"/>
      <c r="L29" s="11">
        <f t="shared" si="1"/>
        <v>0</v>
      </c>
      <c r="N29" s="11"/>
    </row>
    <row r="30" spans="1:14" hidden="1" outlineLevel="1" x14ac:dyDescent="0.25">
      <c r="A30" t="s">
        <v>140</v>
      </c>
      <c r="B30" t="s">
        <v>175</v>
      </c>
      <c r="C30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30&amp;"]"),0)</f>
        <v>0</v>
      </c>
      <c r="D30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30&amp;"]"),0)-E30</f>
        <v>0</v>
      </c>
      <c r="E30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valor]",base!$AW$5,"[IF].[mes]","[IF].[mes].&amp;["&amp;E$8&amp;"]","[IF].[ano]","[IF].[ano].&amp;["&amp;E$7&amp;"]","[IF].[informacion]","[IF].[informacion].&amp;["&amp;E$9&amp;"]","[IF].[cuenta_ppto]","[IF].[cuenta_ppto].&amp;["&amp;$A30&amp;"]"),0)</f>
        <v>0</v>
      </c>
      <c r="F30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30&amp;"]"),0)</f>
        <v>0</v>
      </c>
      <c r="G30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30&amp;"]"),0)</f>
        <v>0</v>
      </c>
      <c r="H30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30&amp;"]"),0)</f>
        <v>0</v>
      </c>
      <c r="I30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30&amp;"]"),0)</f>
        <v>0</v>
      </c>
      <c r="J30" s="11"/>
      <c r="K30" s="11"/>
      <c r="L30" s="11">
        <f t="shared" si="1"/>
        <v>0</v>
      </c>
      <c r="N30" s="11"/>
    </row>
    <row r="31" spans="1:14" hidden="1" outlineLevel="1" x14ac:dyDescent="0.25">
      <c r="A31" t="s">
        <v>141</v>
      </c>
      <c r="B31" t="s">
        <v>176</v>
      </c>
      <c r="C31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31&amp;"]"),0)</f>
        <v>0</v>
      </c>
      <c r="D31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31&amp;"]"),0)-E31</f>
        <v>0</v>
      </c>
      <c r="E31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valor]",base!$AW$5,"[IF].[mes]","[IF].[mes].&amp;["&amp;E$8&amp;"]","[IF].[ano]","[IF].[ano].&amp;["&amp;E$7&amp;"]","[IF].[informacion]","[IF].[informacion].&amp;["&amp;E$9&amp;"]","[IF].[cuenta_ppto]","[IF].[cuenta_ppto].&amp;["&amp;$A31&amp;"]"),0)</f>
        <v>0</v>
      </c>
      <c r="F31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31&amp;"]"),0)</f>
        <v>0</v>
      </c>
      <c r="G31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31&amp;"]"),0)</f>
        <v>0</v>
      </c>
      <c r="H31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31&amp;"]"),0)</f>
        <v>0</v>
      </c>
      <c r="I31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31&amp;"]"),0)</f>
        <v>0</v>
      </c>
      <c r="J31" s="11"/>
      <c r="K31" s="11"/>
      <c r="L31" s="11">
        <f t="shared" si="1"/>
        <v>0</v>
      </c>
      <c r="N31" s="11"/>
    </row>
    <row r="32" spans="1:14" hidden="1" outlineLevel="1" x14ac:dyDescent="0.25">
      <c r="A32" t="s">
        <v>142</v>
      </c>
      <c r="B32" t="s">
        <v>177</v>
      </c>
      <c r="C32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32&amp;"]"),0)</f>
        <v>0</v>
      </c>
      <c r="D32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32&amp;"]"),0)-E32</f>
        <v>0</v>
      </c>
      <c r="E32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valor]",base!$AW$5,"[IF].[mes]","[IF].[mes].&amp;["&amp;E$8&amp;"]","[IF].[ano]","[IF].[ano].&amp;["&amp;E$7&amp;"]","[IF].[informacion]","[IF].[informacion].&amp;["&amp;E$9&amp;"]","[IF].[cuenta_ppto]","[IF].[cuenta_ppto].&amp;["&amp;$A32&amp;"]"),0)</f>
        <v>0</v>
      </c>
      <c r="F32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32&amp;"]"),0)</f>
        <v>0</v>
      </c>
      <c r="G32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32&amp;"]"),0)</f>
        <v>0</v>
      </c>
      <c r="H32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32&amp;"]"),0)</f>
        <v>0</v>
      </c>
      <c r="I32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32&amp;"]"),0)</f>
        <v>0</v>
      </c>
      <c r="J32" s="11"/>
      <c r="K32" s="11"/>
      <c r="L32" s="11">
        <f t="shared" si="1"/>
        <v>0</v>
      </c>
      <c r="N32" s="11"/>
    </row>
    <row r="33" spans="1:14" hidden="1" outlineLevel="1" x14ac:dyDescent="0.25">
      <c r="A33" t="s">
        <v>143</v>
      </c>
      <c r="B33" t="s">
        <v>178</v>
      </c>
      <c r="C33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33&amp;"]"),0)</f>
        <v>0</v>
      </c>
      <c r="D33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33&amp;"]"),0)-E33</f>
        <v>0</v>
      </c>
      <c r="E33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valor]",base!$AW$5,"[IF].[mes]","[IF].[mes].&amp;["&amp;E$8&amp;"]","[IF].[ano]","[IF].[ano].&amp;["&amp;E$7&amp;"]","[IF].[informacion]","[IF].[informacion].&amp;["&amp;E$9&amp;"]","[IF].[cuenta_ppto]","[IF].[cuenta_ppto].&amp;["&amp;$A33&amp;"]"),0)</f>
        <v>0</v>
      </c>
      <c r="F33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33&amp;"]"),0)</f>
        <v>0</v>
      </c>
      <c r="G33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33&amp;"]"),0)</f>
        <v>0</v>
      </c>
      <c r="H33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33&amp;"]"),0)</f>
        <v>0</v>
      </c>
      <c r="I33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33&amp;"]"),0)</f>
        <v>0</v>
      </c>
      <c r="J33" s="11"/>
      <c r="K33" s="11"/>
      <c r="L33" s="11">
        <f t="shared" si="1"/>
        <v>0</v>
      </c>
      <c r="N33" s="11"/>
    </row>
    <row r="34" spans="1:14" hidden="1" outlineLevel="1" x14ac:dyDescent="0.25">
      <c r="A34" t="s">
        <v>144</v>
      </c>
      <c r="B34" t="s">
        <v>179</v>
      </c>
      <c r="C34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34&amp;"]"),0)</f>
        <v>0</v>
      </c>
      <c r="D34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34&amp;"]"),0)-E34</f>
        <v>0</v>
      </c>
      <c r="E34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valor]",base!$AW$5,"[IF].[mes]","[IF].[mes].&amp;["&amp;E$8&amp;"]","[IF].[ano]","[IF].[ano].&amp;["&amp;E$7&amp;"]","[IF].[informacion]","[IF].[informacion].&amp;["&amp;E$9&amp;"]","[IF].[cuenta_ppto]","[IF].[cuenta_ppto].&amp;["&amp;$A34&amp;"]"),0)</f>
        <v>0</v>
      </c>
      <c r="F34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34&amp;"]"),0)</f>
        <v>0</v>
      </c>
      <c r="G34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34&amp;"]"),0)</f>
        <v>0</v>
      </c>
      <c r="H34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34&amp;"]"),0)</f>
        <v>0</v>
      </c>
      <c r="I34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34&amp;"]"),0)</f>
        <v>0</v>
      </c>
      <c r="J34" s="11"/>
      <c r="K34" s="11"/>
      <c r="L34" s="11">
        <f t="shared" si="1"/>
        <v>0</v>
      </c>
      <c r="N34" s="11"/>
    </row>
    <row r="35" spans="1:14" hidden="1" outlineLevel="1" x14ac:dyDescent="0.25">
      <c r="A35" t="s">
        <v>145</v>
      </c>
      <c r="B35" t="s">
        <v>180</v>
      </c>
      <c r="C35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35&amp;"]"),0)</f>
        <v>0</v>
      </c>
      <c r="D35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35&amp;"]"),0)-E35</f>
        <v>0</v>
      </c>
      <c r="E35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valor]",base!$AW$5,"[IF].[mes]","[IF].[mes].&amp;["&amp;E$8&amp;"]","[IF].[ano]","[IF].[ano].&amp;["&amp;E$7&amp;"]","[IF].[informacion]","[IF].[informacion].&amp;["&amp;E$9&amp;"]","[IF].[cuenta_ppto]","[IF].[cuenta_ppto].&amp;["&amp;$A35&amp;"]"),0)</f>
        <v>0</v>
      </c>
      <c r="F35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35&amp;"]"),0)</f>
        <v>0</v>
      </c>
      <c r="G35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35&amp;"]"),0)</f>
        <v>0</v>
      </c>
      <c r="H35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35&amp;"]"),0)</f>
        <v>0</v>
      </c>
      <c r="I35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35&amp;"]"),0)</f>
        <v>0</v>
      </c>
      <c r="J35" s="11"/>
      <c r="K35" s="11"/>
      <c r="L35" s="124">
        <f t="shared" ref="L35:L36" si="4">SUM(C35:K35)</f>
        <v>0</v>
      </c>
      <c r="N35" s="11"/>
    </row>
    <row r="36" spans="1:14" hidden="1" outlineLevel="1" x14ac:dyDescent="0.25">
      <c r="A36" t="s">
        <v>359</v>
      </c>
      <c r="B36" t="s">
        <v>361</v>
      </c>
      <c r="C36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36&amp;"]"),0)</f>
        <v>0</v>
      </c>
      <c r="D36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36&amp;"]"),0)-E36</f>
        <v>0</v>
      </c>
      <c r="E36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valor]",base!$AW$5,"[IF].[mes]","[IF].[mes].&amp;["&amp;E$8&amp;"]","[IF].[ano]","[IF].[ano].&amp;["&amp;E$7&amp;"]","[IF].[informacion]","[IF].[informacion].&amp;["&amp;E$9&amp;"]","[IF].[cuenta_ppto]","[IF].[cuenta_ppto].&amp;["&amp;$A36&amp;"]"),0)</f>
        <v>0</v>
      </c>
      <c r="F36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36&amp;"]"),0)</f>
        <v>0</v>
      </c>
      <c r="G36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36&amp;"]"),0)</f>
        <v>0</v>
      </c>
      <c r="H36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36&amp;"]"),0)</f>
        <v>0</v>
      </c>
      <c r="I36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36&amp;"]"),0)</f>
        <v>0</v>
      </c>
      <c r="J36" s="11"/>
      <c r="K36" s="11"/>
      <c r="L36" s="124">
        <f t="shared" si="4"/>
        <v>0</v>
      </c>
      <c r="N36" s="11"/>
    </row>
    <row r="37" spans="1:14" hidden="1" outlineLevel="1" x14ac:dyDescent="0.25">
      <c r="A37" t="s">
        <v>360</v>
      </c>
      <c r="B37" t="s">
        <v>362</v>
      </c>
      <c r="C37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37&amp;"]"),0)</f>
        <v>0</v>
      </c>
      <c r="D37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37&amp;"]"),0)-E37</f>
        <v>0</v>
      </c>
      <c r="E37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valor]",base!$AW$5,"[IF].[mes]","[IF].[mes].&amp;["&amp;E$8&amp;"]","[IF].[ano]","[IF].[ano].&amp;["&amp;E$7&amp;"]","[IF].[informacion]","[IF].[informacion].&amp;["&amp;E$9&amp;"]","[IF].[cuenta_ppto]","[IF].[cuenta_ppto].&amp;["&amp;$A37&amp;"]"),0)</f>
        <v>0</v>
      </c>
      <c r="F37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37&amp;"]"),0)</f>
        <v>0</v>
      </c>
      <c r="G37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37&amp;"]"),0)</f>
        <v>0</v>
      </c>
      <c r="H37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37&amp;"]"),0)</f>
        <v>0</v>
      </c>
      <c r="I37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37&amp;"]"),0)</f>
        <v>0</v>
      </c>
      <c r="J37" s="11"/>
      <c r="K37" s="11"/>
      <c r="L37" s="124">
        <f t="shared" si="1"/>
        <v>0</v>
      </c>
      <c r="N37" s="11">
        <f>+L37</f>
        <v>0</v>
      </c>
    </row>
    <row r="38" spans="1:14" x14ac:dyDescent="0.25">
      <c r="B38" t="s">
        <v>100</v>
      </c>
      <c r="C38" s="9">
        <f>IFERROR(GETPIVOTDATA("[Measures].[Suma de valor]",base!$A$3,"[IF].[departamento_jerarquia2]","[IF].[departamento_jerarquia2].&amp;["&amp;C$5&amp;"]","[IF].[grupo_analisis]","[IF].[grupo_analisis].&amp;["&amp;$B38&amp;"]","[IF].[mes]","[IF].[mes].&amp;["&amp;C$8&amp;"]","[IF].[ano]","[IF].[ano].&amp;["&amp;C$7&amp;"]","[IF].[informacion]","[IF].[informacion].&amp;["&amp;C$9&amp;"]"),0)</f>
        <v>0</v>
      </c>
      <c r="D38" s="9">
        <f>IFERROR(GETPIVOTDATA("[Measures].[Suma de valor]",base!$A$3,"[IF].[departamento_jerarquia2]","[IF].[departamento_jerarquia2].&amp;["&amp;D$5&amp;"]","[IF].[grupo_analisis]","[IF].[grupo_analisis].&amp;["&amp;$B38&amp;"]","[IF].[mes]","[IF].[mes].&amp;["&amp;D$8&amp;"]","[IF].[ano]","[IF].[ano].&amp;["&amp;D$7&amp;"]","[IF].[informacion]","[IF].[informacion].&amp;["&amp;D$9&amp;"]"),0)-E38</f>
        <v>-22.424655000000001</v>
      </c>
      <c r="E38" s="9">
        <f>IFERROR(GETPIVOTDATA("[Measures].[Suma de valor]",base!$AN$5,"[IF].[grupo_analisis]","[IF].[grupo_analisis].&amp;["&amp;$B38&amp;"]","[IF].[mes]","[IF].[mes].&amp;["&amp;E$8&amp;"]","[IF].[ano]","[IF].[ano].&amp;["&amp;E$7&amp;"]","[IF].[informacion]","[IF].[informacion].&amp;["&amp;E$9&amp;"]"),0)</f>
        <v>-136.22812200000001</v>
      </c>
      <c r="F38" s="9">
        <f>IFERROR(GETPIVOTDATA("[Measures].[Suma de valor]",base!$A$3,"[IF].[departamento_jerarquia2]","[IF].[departamento_jerarquia2].&amp;["&amp;F$5&amp;"]","[IF].[grupo_analisis]","[IF].[grupo_analisis].&amp;["&amp;$B38&amp;"]","[IF].[mes]","[IF].[mes].&amp;["&amp;F$8&amp;"]","[IF].[ano]","[IF].[ano].&amp;["&amp;F$7&amp;"]","[IF].[informacion]","[IF].[informacion].&amp;["&amp;F$9&amp;"]"),0)</f>
        <v>5.8100000000000005</v>
      </c>
      <c r="G38" s="9">
        <f>IFERROR(GETPIVOTDATA("[Measures].[Suma de valor]",base!$A$3,"[IF].[departamento_jerarquia2]","[IF].[departamento_jerarquia2].&amp;["&amp;G$5&amp;"]","[IF].[grupo_analisis]","[IF].[grupo_analisis].&amp;["&amp;$B38&amp;"]","[IF].[mes]","[IF].[mes].&amp;["&amp;G$8&amp;"]","[IF].[ano]","[IF].[ano].&amp;["&amp;G$7&amp;"]","[IF].[informacion]","[IF].[informacion].&amp;["&amp;G$9&amp;"]"),0)</f>
        <v>0</v>
      </c>
      <c r="H38" s="9">
        <f>IFERROR(GETPIVOTDATA("[Measures].[Suma de valor]",base!$A$3,"[IF].[departamento_jerarquia2]","[IF].[departamento_jerarquia2].&amp;["&amp;H$5&amp;"]","[IF].[grupo_analisis]","[IF].[grupo_analisis].&amp;["&amp;$B38&amp;"]","[IF].[mes]","[IF].[mes].&amp;["&amp;H$8&amp;"]","[IF].[ano]","[IF].[ano].&amp;["&amp;H$7&amp;"]","[IF].[informacion]","[IF].[informacion].&amp;["&amp;H$9&amp;"]"),0)</f>
        <v>0</v>
      </c>
      <c r="I38" s="9">
        <f>IFERROR(GETPIVOTDATA("[Measures].[Suma de valor]",base!$A$3,"[IF].[departamento_jerarquia2]","[IF].[departamento_jerarquia2].&amp;["&amp;I$5&amp;"]","[IF].[grupo_analisis]","[IF].[grupo_analisis].&amp;["&amp;$B38&amp;"]","[IF].[mes]","[IF].[mes].&amp;["&amp;I$8&amp;"]","[IF].[ano]","[IF].[ano].&amp;["&amp;I$7&amp;"]","[IF].[informacion]","[IF].[informacion].&amp;["&amp;I$9&amp;"]"),0)</f>
        <v>-119.25991981</v>
      </c>
      <c r="J38" s="9"/>
      <c r="K38" s="9"/>
      <c r="L38" s="12">
        <f t="shared" si="1"/>
        <v>-272.10269681</v>
      </c>
      <c r="N38" s="12">
        <f t="shared" ref="N38" si="5">L38</f>
        <v>-272.10269681</v>
      </c>
    </row>
    <row r="39" spans="1:14" x14ac:dyDescent="0.25">
      <c r="B39" s="14" t="s">
        <v>203</v>
      </c>
      <c r="C39" s="15">
        <f t="shared" ref="C39:L39" si="6">SUM(C13:C21,C38)</f>
        <v>0</v>
      </c>
      <c r="D39" s="15">
        <f t="shared" si="6"/>
        <v>152.07384999999999</v>
      </c>
      <c r="E39" s="15">
        <f t="shared" si="6"/>
        <v>1133.33656</v>
      </c>
      <c r="F39" s="15">
        <f t="shared" si="6"/>
        <v>5.8100000000000005</v>
      </c>
      <c r="G39" s="15">
        <f t="shared" si="6"/>
        <v>0</v>
      </c>
      <c r="H39" s="15">
        <f t="shared" si="6"/>
        <v>0</v>
      </c>
      <c r="I39" s="15">
        <f t="shared" si="6"/>
        <v>1336.3407281999998</v>
      </c>
      <c r="J39" s="15"/>
      <c r="K39" s="15"/>
      <c r="L39" s="16">
        <f t="shared" si="6"/>
        <v>2627.5611381999997</v>
      </c>
      <c r="N39" s="16">
        <f>SUM(N13:N21,N38)</f>
        <v>2567.3257381999997</v>
      </c>
    </row>
    <row r="41" spans="1:14" x14ac:dyDescent="0.25">
      <c r="B41" t="s">
        <v>106</v>
      </c>
      <c r="C41" s="9">
        <f>IFERROR(GETPIVOTDATA("[Measures].[Suma de valor]",base!$A$3,"[IF].[departamento_jerarquia2]","[IF].[departamento_jerarquia2].&amp;["&amp;C$5&amp;"]","[IF].[grupo_analisis]","[IF].[grupo_analisis].&amp;["&amp;$B41&amp;"]","[IF].[mes]","[IF].[mes].&amp;["&amp;C$8&amp;"]","[IF].[ano]","[IF].[ano].&amp;["&amp;C$7&amp;"]","[IF].[informacion]","[IF].[informacion].&amp;["&amp;C$9&amp;"]"),0)</f>
        <v>0</v>
      </c>
      <c r="D41" s="9">
        <f>IFERROR(GETPIVOTDATA("[Measures].[Suma de valor]",base!$A$3,"[IF].[departamento_jerarquia2]","[IF].[departamento_jerarquia2].&amp;["&amp;D$5&amp;"]","[IF].[grupo_analisis]","[IF].[grupo_analisis].&amp;["&amp;$B41&amp;"]","[IF].[mes]","[IF].[mes].&amp;["&amp;D$8&amp;"]","[IF].[ano]","[IF].[ano].&amp;["&amp;D$7&amp;"]","[IF].[informacion]","[IF].[informacion].&amp;["&amp;D$9&amp;"]"),0)-E41</f>
        <v>18.561199000000002</v>
      </c>
      <c r="E41" s="9">
        <f>IFERROR(GETPIVOTDATA("[Measures].[Suma de valor]",base!$AN$5,"[IF].[grupo_analisis]","[IF].[grupo_analisis].&amp;["&amp;$B41&amp;"]","[IF].[mes]","[IF].[mes].&amp;["&amp;E$8&amp;"]","[IF].[ano]","[IF].[ano].&amp;["&amp;E$7&amp;"]","[IF].[informacion]","[IF].[informacion].&amp;["&amp;E$9&amp;"]"),0)</f>
        <v>107.206247</v>
      </c>
      <c r="F41" s="9">
        <f>IFERROR(GETPIVOTDATA("[Measures].[Suma de valor]",base!$A$3,"[IF].[departamento_jerarquia2]","[IF].[departamento_jerarquia2].&amp;["&amp;F$5&amp;"]","[IF].[grupo_analisis]","[IF].[grupo_analisis].&amp;["&amp;$B41&amp;"]","[IF].[mes]","[IF].[mes].&amp;["&amp;F$8&amp;"]","[IF].[ano]","[IF].[ano].&amp;["&amp;F$7&amp;"]","[IF].[informacion]","[IF].[informacion].&amp;["&amp;F$9&amp;"]"),0)</f>
        <v>0</v>
      </c>
      <c r="G41" s="9">
        <f>IFERROR(GETPIVOTDATA("[Measures].[Suma de valor]",base!$A$3,"[IF].[departamento_jerarquia2]","[IF].[departamento_jerarquia2].&amp;["&amp;G$5&amp;"]","[IF].[grupo_analisis]","[IF].[grupo_analisis].&amp;["&amp;$B41&amp;"]","[IF].[mes]","[IF].[mes].&amp;["&amp;G$8&amp;"]","[IF].[ano]","[IF].[ano].&amp;["&amp;G$7&amp;"]","[IF].[informacion]","[IF].[informacion].&amp;["&amp;G$9&amp;"]"),0)</f>
        <v>0</v>
      </c>
      <c r="H41" s="9">
        <f>IFERROR(GETPIVOTDATA("[Measures].[Suma de valor]",base!$A$3,"[IF].[departamento_jerarquia2]","[IF].[departamento_jerarquia2].&amp;["&amp;H$5&amp;"]","[IF].[grupo_analisis]","[IF].[grupo_analisis].&amp;["&amp;$B41&amp;"]","[IF].[mes]","[IF].[mes].&amp;["&amp;H$8&amp;"]","[IF].[ano]","[IF].[ano].&amp;["&amp;H$7&amp;"]","[IF].[informacion]","[IF].[informacion].&amp;["&amp;H$9&amp;"]"),0)</f>
        <v>0</v>
      </c>
      <c r="I41" s="9">
        <f>IFERROR(GETPIVOTDATA("[Measures].[Suma de valor]",base!$A$3,"[IF].[departamento_jerarquia2]","[IF].[departamento_jerarquia2].&amp;["&amp;I$5&amp;"]","[IF].[grupo_analisis]","[IF].[grupo_analisis].&amp;["&amp;$B41&amp;"]","[IF].[mes]","[IF].[mes].&amp;["&amp;I$8&amp;"]","[IF].[ano]","[IF].[ano].&amp;["&amp;I$7&amp;"]","[IF].[informacion]","[IF].[informacion].&amp;["&amp;I$9&amp;"]"),0)</f>
        <v>383.13120500000008</v>
      </c>
      <c r="J41" s="9"/>
      <c r="K41" s="9"/>
      <c r="L41" s="12">
        <f t="shared" ref="L41:L46" si="7">SUM(C41:K41)</f>
        <v>508.89865100000009</v>
      </c>
      <c r="N41" s="12">
        <f t="shared" ref="N41:N46" si="8">L41</f>
        <v>508.89865100000009</v>
      </c>
    </row>
    <row r="42" spans="1:14" x14ac:dyDescent="0.25">
      <c r="B42" t="s">
        <v>111</v>
      </c>
      <c r="C42" s="9">
        <f>IFERROR(GETPIVOTDATA("[Measures].[Suma de valor]",base!$A$3,"[IF].[departamento_jerarquia2]","[IF].[departamento_jerarquia2].&amp;["&amp;C$5&amp;"]","[IF].[grupo_analisis]","[IF].[grupo_analisis].&amp;["&amp;$B42&amp;"]","[IF].[mes]","[IF].[mes].&amp;["&amp;C$8&amp;"]","[IF].[ano]","[IF].[ano].&amp;["&amp;C$7&amp;"]","[IF].[informacion]","[IF].[informacion].&amp;["&amp;C$9&amp;"]"),0)</f>
        <v>0</v>
      </c>
      <c r="D42" s="9">
        <f>IFERROR(GETPIVOTDATA("[Measures].[Suma de valor]",base!$A$3,"[IF].[departamento_jerarquia2]","[IF].[departamento_jerarquia2].&amp;["&amp;D$5&amp;"]","[IF].[grupo_analisis]","[IF].[grupo_analisis].&amp;["&amp;$B42&amp;"]","[IF].[mes]","[IF].[mes].&amp;["&amp;D$8&amp;"]","[IF].[ano]","[IF].[ano].&amp;["&amp;D$7&amp;"]","[IF].[informacion]","[IF].[informacion].&amp;["&amp;D$9&amp;"]"),0)-E42</f>
        <v>33.287500000000023</v>
      </c>
      <c r="E42" s="9">
        <f>IFERROR(GETPIVOTDATA("[Measures].[Suma de valor]",base!$AN$5,"[IF].[grupo_analisis]","[IF].[grupo_analisis].&amp;["&amp;$B42&amp;"]","[IF].[mes]","[IF].[mes].&amp;["&amp;E$8&amp;"]","[IF].[ano]","[IF].[ano].&amp;["&amp;E$7&amp;"]","[IF].[informacion]","[IF].[informacion].&amp;["&amp;E$9&amp;"]"),0)</f>
        <v>238.69931191000001</v>
      </c>
      <c r="F42" s="9">
        <f>IFERROR(GETPIVOTDATA("[Measures].[Suma de valor]",base!$A$3,"[IF].[departamento_jerarquia2]","[IF].[departamento_jerarquia2].&amp;["&amp;F$5&amp;"]","[IF].[grupo_analisis]","[IF].[grupo_analisis].&amp;["&amp;$B42&amp;"]","[IF].[mes]","[IF].[mes].&amp;["&amp;F$8&amp;"]","[IF].[ano]","[IF].[ano].&amp;["&amp;F$7&amp;"]","[IF].[informacion]","[IF].[informacion].&amp;["&amp;F$9&amp;"]"),0)</f>
        <v>0</v>
      </c>
      <c r="G42" s="9">
        <f>IFERROR(GETPIVOTDATA("[Measures].[Suma de valor]",base!$A$3,"[IF].[departamento_jerarquia2]","[IF].[departamento_jerarquia2].&amp;["&amp;G$5&amp;"]","[IF].[grupo_analisis]","[IF].[grupo_analisis].&amp;["&amp;$B42&amp;"]","[IF].[mes]","[IF].[mes].&amp;["&amp;G$8&amp;"]","[IF].[ano]","[IF].[ano].&amp;["&amp;G$7&amp;"]","[IF].[informacion]","[IF].[informacion].&amp;["&amp;G$9&amp;"]"),0)</f>
        <v>0</v>
      </c>
      <c r="H42" s="9">
        <f>IFERROR(GETPIVOTDATA("[Measures].[Suma de valor]",base!$A$3,"[IF].[departamento_jerarquia2]","[IF].[departamento_jerarquia2].&amp;["&amp;H$5&amp;"]","[IF].[grupo_analisis]","[IF].[grupo_analisis].&amp;["&amp;$B42&amp;"]","[IF].[mes]","[IF].[mes].&amp;["&amp;H$8&amp;"]","[IF].[ano]","[IF].[ano].&amp;["&amp;H$7&amp;"]","[IF].[informacion]","[IF].[informacion].&amp;["&amp;H$9&amp;"]"),0)</f>
        <v>0</v>
      </c>
      <c r="I42" s="9">
        <f>IFERROR(GETPIVOTDATA("[Measures].[Suma de valor]",base!$A$3,"[IF].[departamento_jerarquia2]","[IF].[departamento_jerarquia2].&amp;["&amp;I$5&amp;"]","[IF].[grupo_analisis]","[IF].[grupo_analisis].&amp;["&amp;$B42&amp;"]","[IF].[mes]","[IF].[mes].&amp;["&amp;I$8&amp;"]","[IF].[ano]","[IF].[ano].&amp;["&amp;I$7&amp;"]","[IF].[informacion]","[IF].[informacion].&amp;["&amp;I$9&amp;"]"),0)</f>
        <v>215.04985759000002</v>
      </c>
      <c r="J42" s="9"/>
      <c r="K42" s="9"/>
      <c r="L42" s="12">
        <f t="shared" si="7"/>
        <v>487.03666950000002</v>
      </c>
      <c r="N42" s="12">
        <f t="shared" si="8"/>
        <v>487.03666950000002</v>
      </c>
    </row>
    <row r="43" spans="1:14" x14ac:dyDescent="0.25">
      <c r="B43" t="s">
        <v>108</v>
      </c>
      <c r="C43" s="9">
        <f>IFERROR(GETPIVOTDATA("[Measures].[Suma de valor]",base!$A$3,"[IF].[departamento_jerarquia2]","[IF].[departamento_jerarquia2].&amp;["&amp;C$5&amp;"]","[IF].[grupo_analisis]","[IF].[grupo_analisis].&amp;["&amp;$B43&amp;"]","[IF].[mes]","[IF].[mes].&amp;["&amp;C$8&amp;"]","[IF].[ano]","[IF].[ano].&amp;["&amp;C$7&amp;"]","[IF].[informacion]","[IF].[informacion].&amp;["&amp;C$9&amp;"]"),0)</f>
        <v>0</v>
      </c>
      <c r="D43" s="9">
        <f>IFERROR(GETPIVOTDATA("[Measures].[Suma de valor]",base!$A$3,"[IF].[departamento_jerarquia2]","[IF].[departamento_jerarquia2].&amp;["&amp;D$5&amp;"]","[IF].[grupo_analisis]","[IF].[grupo_analisis].&amp;["&amp;$B43&amp;"]","[IF].[mes]","[IF].[mes].&amp;["&amp;D$8&amp;"]","[IF].[ano]","[IF].[ano].&amp;["&amp;D$7&amp;"]","[IF].[informacion]","[IF].[informacion].&amp;["&amp;D$9&amp;"]"),0)-E43</f>
        <v>10.327143999999997</v>
      </c>
      <c r="E43" s="9">
        <f>IFERROR(GETPIVOTDATA("[Measures].[Suma de valor]",base!$AN$5,"[IF].[grupo_analisis]","[IF].[grupo_analisis].&amp;["&amp;$B43&amp;"]","[IF].[mes]","[IF].[mes].&amp;["&amp;E$8&amp;"]","[IF].[ano]","[IF].[ano].&amp;["&amp;E$7&amp;"]","[IF].[informacion]","[IF].[informacion].&amp;["&amp;E$9&amp;"]"),0)</f>
        <v>22.029916999999998</v>
      </c>
      <c r="F43" s="9">
        <f>IFERROR(GETPIVOTDATA("[Measures].[Suma de valor]",base!$A$3,"[IF].[departamento_jerarquia2]","[IF].[departamento_jerarquia2].&amp;["&amp;F$5&amp;"]","[IF].[grupo_analisis]","[IF].[grupo_analisis].&amp;["&amp;$B43&amp;"]","[IF].[mes]","[IF].[mes].&amp;["&amp;F$8&amp;"]","[IF].[ano]","[IF].[ano].&amp;["&amp;F$7&amp;"]","[IF].[informacion]","[IF].[informacion].&amp;["&amp;F$9&amp;"]"),0)</f>
        <v>0</v>
      </c>
      <c r="G43" s="9">
        <f>IFERROR(GETPIVOTDATA("[Measures].[Suma de valor]",base!$A$3,"[IF].[departamento_jerarquia2]","[IF].[departamento_jerarquia2].&amp;["&amp;G$5&amp;"]","[IF].[grupo_analisis]","[IF].[grupo_analisis].&amp;["&amp;$B43&amp;"]","[IF].[mes]","[IF].[mes].&amp;["&amp;G$8&amp;"]","[IF].[ano]","[IF].[ano].&amp;["&amp;G$7&amp;"]","[IF].[informacion]","[IF].[informacion].&amp;["&amp;G$9&amp;"]"),0)</f>
        <v>0</v>
      </c>
      <c r="H43" s="9">
        <f>IFERROR(GETPIVOTDATA("[Measures].[Suma de valor]",base!$A$3,"[IF].[departamento_jerarquia2]","[IF].[departamento_jerarquia2].&amp;["&amp;H$5&amp;"]","[IF].[grupo_analisis]","[IF].[grupo_analisis].&amp;["&amp;$B43&amp;"]","[IF].[mes]","[IF].[mes].&amp;["&amp;H$8&amp;"]","[IF].[ano]","[IF].[ano].&amp;["&amp;H$7&amp;"]","[IF].[informacion]","[IF].[informacion].&amp;["&amp;H$9&amp;"]"),0)</f>
        <v>0</v>
      </c>
      <c r="I43" s="9">
        <f>IFERROR(GETPIVOTDATA("[Measures].[Suma de valor]",base!$A$3,"[IF].[departamento_jerarquia2]","[IF].[departamento_jerarquia2].&amp;["&amp;I$5&amp;"]","[IF].[grupo_analisis]","[IF].[grupo_analisis].&amp;["&amp;$B43&amp;"]","[IF].[mes]","[IF].[mes].&amp;["&amp;I$8&amp;"]","[IF].[ano]","[IF].[ano].&amp;["&amp;I$7&amp;"]","[IF].[informacion]","[IF].[informacion].&amp;["&amp;I$9&amp;"]"),0)</f>
        <v>68.218475130000002</v>
      </c>
      <c r="J43" s="9"/>
      <c r="K43" s="9"/>
      <c r="L43" s="12">
        <f t="shared" si="7"/>
        <v>100.57553612999999</v>
      </c>
      <c r="N43" s="12">
        <f t="shared" si="8"/>
        <v>100.57553612999999</v>
      </c>
    </row>
    <row r="44" spans="1:14" x14ac:dyDescent="0.25">
      <c r="B44" t="s">
        <v>315</v>
      </c>
      <c r="C44" s="9">
        <f>IFERROR(GETPIVOTDATA("[Measures].[Suma de valor]",base!$A$3,"[IF].[departamento_jerarquia2]","[IF].[departamento_jerarquia2].&amp;["&amp;C$5&amp;"]","[IF].[grupo_analisis]","[IF].[grupo_analisis].&amp;["&amp;$B44&amp;"]","[IF].[mes]","[IF].[mes].&amp;["&amp;C$8&amp;"]","[IF].[ano]","[IF].[ano].&amp;["&amp;C$7&amp;"]","[IF].[informacion]","[IF].[informacion].&amp;["&amp;C$9&amp;"]"),0)</f>
        <v>0</v>
      </c>
      <c r="D44" s="9">
        <f>IFERROR(GETPIVOTDATA("[Measures].[Suma de valor]",base!$A$3,"[IF].[departamento_jerarquia2]","[IF].[departamento_jerarquia2].&amp;["&amp;D$5&amp;"]","[IF].[grupo_analisis]","[IF].[grupo_analisis].&amp;["&amp;$B44&amp;"]","[IF].[mes]","[IF].[mes].&amp;["&amp;D$8&amp;"]","[IF].[ano]","[IF].[ano].&amp;["&amp;D$7&amp;"]","[IF].[informacion]","[IF].[informacion].&amp;["&amp;D$9&amp;"]"),0)-E44</f>
        <v>0</v>
      </c>
      <c r="E44" s="9">
        <f>IFERROR(GETPIVOTDATA("[Measures].[Suma de valor]",base!$AN$5,"[IF].[grupo_analisis]","[IF].[grupo_analisis].&amp;["&amp;$B44&amp;"]","[IF].[mes]","[IF].[mes].&amp;["&amp;E$8&amp;"]","[IF].[ano]","[IF].[ano].&amp;["&amp;E$7&amp;"]","[IF].[informacion]","[IF].[informacion].&amp;["&amp;E$9&amp;"]"),0)</f>
        <v>0</v>
      </c>
      <c r="F44" s="9">
        <f>IFERROR(GETPIVOTDATA("[Measures].[Suma de valor]",base!$A$3,"[IF].[departamento_jerarquia2]","[IF].[departamento_jerarquia2].&amp;["&amp;F$5&amp;"]","[IF].[grupo_analisis]","[IF].[grupo_analisis].&amp;["&amp;$B44&amp;"]","[IF].[mes]","[IF].[mes].&amp;["&amp;F$8&amp;"]","[IF].[ano]","[IF].[ano].&amp;["&amp;F$7&amp;"]","[IF].[informacion]","[IF].[informacion].&amp;["&amp;F$9&amp;"]"),0)</f>
        <v>0</v>
      </c>
      <c r="G44" s="9">
        <f>IFERROR(GETPIVOTDATA("[Measures].[Suma de valor]",base!$A$3,"[IF].[departamento_jerarquia2]","[IF].[departamento_jerarquia2].&amp;["&amp;G$5&amp;"]","[IF].[grupo_analisis]","[IF].[grupo_analisis].&amp;["&amp;$B44&amp;"]","[IF].[mes]","[IF].[mes].&amp;["&amp;G$8&amp;"]","[IF].[ano]","[IF].[ano].&amp;["&amp;G$7&amp;"]","[IF].[informacion]","[IF].[informacion].&amp;["&amp;G$9&amp;"]"),0)</f>
        <v>0</v>
      </c>
      <c r="H44" s="9">
        <f>IFERROR(GETPIVOTDATA("[Measures].[Suma de valor]",base!$A$3,"[IF].[departamento_jerarquia2]","[IF].[departamento_jerarquia2].&amp;["&amp;H$5&amp;"]","[IF].[grupo_analisis]","[IF].[grupo_analisis].&amp;["&amp;$B44&amp;"]","[IF].[mes]","[IF].[mes].&amp;["&amp;H$8&amp;"]","[IF].[ano]","[IF].[ano].&amp;["&amp;H$7&amp;"]","[IF].[informacion]","[IF].[informacion].&amp;["&amp;H$9&amp;"]"),0)</f>
        <v>0</v>
      </c>
      <c r="I44" s="9">
        <f>IFERROR(GETPIVOTDATA("[Measures].[Suma de valor]",base!$A$3,"[IF].[departamento_jerarquia2]","[IF].[departamento_jerarquia2].&amp;["&amp;I$5&amp;"]","[IF].[grupo_analisis]","[IF].[grupo_analisis].&amp;["&amp;$B44&amp;"]","[IF].[mes]","[IF].[mes].&amp;["&amp;I$8&amp;"]","[IF].[ano]","[IF].[ano].&amp;["&amp;I$7&amp;"]","[IF].[informacion]","[IF].[informacion].&amp;["&amp;I$9&amp;"]"),0)</f>
        <v>0</v>
      </c>
      <c r="J44" s="9"/>
      <c r="K44" s="9"/>
      <c r="L44" s="12">
        <f t="shared" si="7"/>
        <v>0</v>
      </c>
      <c r="N44" s="12">
        <f>L44</f>
        <v>0</v>
      </c>
    </row>
    <row r="45" spans="1:14" x14ac:dyDescent="0.25">
      <c r="B45" t="s">
        <v>314</v>
      </c>
      <c r="C45" s="9">
        <f>IFERROR(GETPIVOTDATA("[Measures].[Suma de valor]",base!$A$3,"[IF].[departamento_jerarquia2]","[IF].[departamento_jerarquia2].&amp;["&amp;C$5&amp;"]","[IF].[grupo_analisis]","[IF].[grupo_analisis].&amp;["&amp;$B45&amp;"]","[IF].[mes]","[IF].[mes].&amp;["&amp;C$8&amp;"]","[IF].[ano]","[IF].[ano].&amp;["&amp;C$7&amp;"]","[IF].[informacion]","[IF].[informacion].&amp;["&amp;C$9&amp;"]"),0)</f>
        <v>0</v>
      </c>
      <c r="D45" s="9">
        <f>IFERROR(GETPIVOTDATA("[Measures].[Suma de valor]",base!$A$3,"[IF].[departamento_jerarquia2]","[IF].[departamento_jerarquia2].&amp;["&amp;D$5&amp;"]","[IF].[grupo_analisis]","[IF].[grupo_analisis].&amp;["&amp;$B45&amp;"]","[IF].[mes]","[IF].[mes].&amp;["&amp;D$8&amp;"]","[IF].[ano]","[IF].[ano].&amp;["&amp;D$7&amp;"]","[IF].[informacion]","[IF].[informacion].&amp;["&amp;D$9&amp;"]"),0)-E45</f>
        <v>0</v>
      </c>
      <c r="E45" s="9">
        <f>IFERROR(GETPIVOTDATA("[Measures].[Suma de valor]",base!$AN$5,"[IF].[grupo_analisis]","[IF].[grupo_analisis].&amp;["&amp;$B45&amp;"]","[IF].[mes]","[IF].[mes].&amp;["&amp;E$8&amp;"]","[IF].[ano]","[IF].[ano].&amp;["&amp;E$7&amp;"]","[IF].[informacion]","[IF].[informacion].&amp;["&amp;E$9&amp;"]"),0)</f>
        <v>16.381014</v>
      </c>
      <c r="F45" s="9">
        <f>IFERROR(GETPIVOTDATA("[Measures].[Suma de valor]",base!$A$3,"[IF].[departamento_jerarquia2]","[IF].[departamento_jerarquia2].&amp;["&amp;F$5&amp;"]","[IF].[grupo_analisis]","[IF].[grupo_analisis].&amp;["&amp;$B45&amp;"]","[IF].[mes]","[IF].[mes].&amp;["&amp;F$8&amp;"]","[IF].[ano]","[IF].[ano].&amp;["&amp;F$7&amp;"]","[IF].[informacion]","[IF].[informacion].&amp;["&amp;F$9&amp;"]"),0)</f>
        <v>0</v>
      </c>
      <c r="G45" s="9">
        <f>IFERROR(GETPIVOTDATA("[Measures].[Suma de valor]",base!$A$3,"[IF].[departamento_jerarquia2]","[IF].[departamento_jerarquia2].&amp;["&amp;G$5&amp;"]","[IF].[grupo_analisis]","[IF].[grupo_analisis].&amp;["&amp;$B45&amp;"]","[IF].[mes]","[IF].[mes].&amp;["&amp;G$8&amp;"]","[IF].[ano]","[IF].[ano].&amp;["&amp;G$7&amp;"]","[IF].[informacion]","[IF].[informacion].&amp;["&amp;G$9&amp;"]"),0)</f>
        <v>0</v>
      </c>
      <c r="H45" s="9">
        <f>IFERROR(GETPIVOTDATA("[Measures].[Suma de valor]",base!$A$3,"[IF].[departamento_jerarquia2]","[IF].[departamento_jerarquia2].&amp;["&amp;H$5&amp;"]","[IF].[grupo_analisis]","[IF].[grupo_analisis].&amp;["&amp;$B45&amp;"]","[IF].[mes]","[IF].[mes].&amp;["&amp;H$8&amp;"]","[IF].[ano]","[IF].[ano].&amp;["&amp;H$7&amp;"]","[IF].[informacion]","[IF].[informacion].&amp;["&amp;H$9&amp;"]"),0)</f>
        <v>0</v>
      </c>
      <c r="I45" s="9">
        <f>IFERROR(GETPIVOTDATA("[Measures].[Suma de valor]",base!$A$3,"[IF].[departamento_jerarquia2]","[IF].[departamento_jerarquia2].&amp;["&amp;I$5&amp;"]","[IF].[grupo_analisis]","[IF].[grupo_analisis].&amp;["&amp;$B45&amp;"]","[IF].[mes]","[IF].[mes].&amp;["&amp;I$8&amp;"]","[IF].[ano]","[IF].[ano].&amp;["&amp;I$7&amp;"]","[IF].[informacion]","[IF].[informacion].&amp;["&amp;I$9&amp;"]"),0)</f>
        <v>131.85074599999999</v>
      </c>
      <c r="J45" s="9"/>
      <c r="K45" s="9"/>
      <c r="L45" s="12">
        <f t="shared" si="7"/>
        <v>148.23175999999998</v>
      </c>
      <c r="N45" s="12">
        <f t="shared" ref="N45" si="9">L45</f>
        <v>148.23175999999998</v>
      </c>
    </row>
    <row r="46" spans="1:14" x14ac:dyDescent="0.25">
      <c r="B46" t="s">
        <v>120</v>
      </c>
      <c r="C46" s="9">
        <f>IFERROR(GETPIVOTDATA("[Measures].[Suma de valor]",base!$A$3,"[IF].[departamento_jerarquia2]","[IF].[departamento_jerarquia2].&amp;["&amp;C$5&amp;"]","[IF].[grupo_analisis]","[IF].[grupo_analisis].&amp;["&amp;$B46&amp;"]","[IF].[mes]","[IF].[mes].&amp;["&amp;C$8&amp;"]","[IF].[ano]","[IF].[ano].&amp;["&amp;C$7&amp;"]","[IF].[informacion]","[IF].[informacion].&amp;["&amp;C$9&amp;"]"),0)</f>
        <v>0</v>
      </c>
      <c r="D46" s="9">
        <f>IFERROR(GETPIVOTDATA("[Measures].[Suma de valor]",base!$A$3,"[IF].[departamento_jerarquia2]","[IF].[departamento_jerarquia2].&amp;["&amp;D$5&amp;"]","[IF].[grupo_analisis]","[IF].[grupo_analisis].&amp;["&amp;$B46&amp;"]","[IF].[mes]","[IF].[mes].&amp;["&amp;D$8&amp;"]","[IF].[ano]","[IF].[ano].&amp;["&amp;D$7&amp;"]","[IF].[informacion]","[IF].[informacion].&amp;["&amp;D$9&amp;"]"),0)-E46</f>
        <v>9.0163920000000175E-2</v>
      </c>
      <c r="E46" s="9">
        <f>IFERROR(GETPIVOTDATA("[Measures].[Suma de valor]",base!$AN$5,"[IF].[grupo_analisis]","[IF].[grupo_analisis].&amp;["&amp;$B46&amp;"]","[IF].[mes]","[IF].[mes].&amp;["&amp;E$8&amp;"]","[IF].[ano]","[IF].[ano].&amp;["&amp;E$7&amp;"]","[IF].[informacion]","[IF].[informacion].&amp;["&amp;E$9&amp;"]"),0)</f>
        <v>8.8149101600000002</v>
      </c>
      <c r="F46" s="9">
        <f>IFERROR(GETPIVOTDATA("[Measures].[Suma de valor]",base!$A$3,"[IF].[departamento_jerarquia2]","[IF].[departamento_jerarquia2].&amp;["&amp;F$5&amp;"]","[IF].[grupo_analisis]","[IF].[grupo_analisis].&amp;["&amp;$B46&amp;"]","[IF].[mes]","[IF].[mes].&amp;["&amp;F$8&amp;"]","[IF].[ano]","[IF].[ano].&amp;["&amp;F$7&amp;"]","[IF].[informacion]","[IF].[informacion].&amp;["&amp;F$9&amp;"]"),0)</f>
        <v>0</v>
      </c>
      <c r="G46" s="9">
        <f>IFERROR(GETPIVOTDATA("[Measures].[Suma de valor]",base!$A$3,"[IF].[departamento_jerarquia2]","[IF].[departamento_jerarquia2].&amp;["&amp;G$5&amp;"]","[IF].[grupo_analisis]","[IF].[grupo_analisis].&amp;["&amp;$B46&amp;"]","[IF].[mes]","[IF].[mes].&amp;["&amp;G$8&amp;"]","[IF].[ano]","[IF].[ano].&amp;["&amp;G$7&amp;"]","[IF].[informacion]","[IF].[informacion].&amp;["&amp;G$9&amp;"]"),0)</f>
        <v>0</v>
      </c>
      <c r="H46" s="9">
        <f>IFERROR(GETPIVOTDATA("[Measures].[Suma de valor]",base!$A$3,"[IF].[departamento_jerarquia2]","[IF].[departamento_jerarquia2].&amp;["&amp;H$5&amp;"]","[IF].[grupo_analisis]","[IF].[grupo_analisis].&amp;["&amp;$B46&amp;"]","[IF].[mes]","[IF].[mes].&amp;["&amp;H$8&amp;"]","[IF].[ano]","[IF].[ano].&amp;["&amp;H$7&amp;"]","[IF].[informacion]","[IF].[informacion].&amp;["&amp;H$9&amp;"]"),0)</f>
        <v>0</v>
      </c>
      <c r="I46" s="9">
        <f>IFERROR(GETPIVOTDATA("[Measures].[Suma de valor]",base!$A$3,"[IF].[departamento_jerarquia2]","[IF].[departamento_jerarquia2].&amp;["&amp;I$5&amp;"]","[IF].[grupo_analisis]","[IF].[grupo_analisis].&amp;["&amp;$B46&amp;"]","[IF].[mes]","[IF].[mes].&amp;["&amp;I$8&amp;"]","[IF].[ano]","[IF].[ano].&amp;["&amp;I$7&amp;"]","[IF].[informacion]","[IF].[informacion].&amp;["&amp;I$9&amp;"]"),0)</f>
        <v>3.0560249600000002</v>
      </c>
      <c r="J46" s="9"/>
      <c r="K46" s="9"/>
      <c r="L46" s="12">
        <f t="shared" si="7"/>
        <v>11.961099040000001</v>
      </c>
      <c r="N46" s="12">
        <f t="shared" si="8"/>
        <v>11.961099040000001</v>
      </c>
    </row>
    <row r="47" spans="1:14" collapsed="1" x14ac:dyDescent="0.25">
      <c r="B47" s="8" t="s">
        <v>109</v>
      </c>
      <c r="C47" s="10">
        <f t="shared" ref="C47:L47" si="10">SUM(C48:C66)</f>
        <v>0</v>
      </c>
      <c r="D47" s="10">
        <f t="shared" si="10"/>
        <v>151.12275786053692</v>
      </c>
      <c r="E47" s="10">
        <f t="shared" si="10"/>
        <v>633.90766770826303</v>
      </c>
      <c r="F47" s="10">
        <f t="shared" si="10"/>
        <v>0.39550000000000002</v>
      </c>
      <c r="G47" s="10">
        <f t="shared" si="10"/>
        <v>0</v>
      </c>
      <c r="H47" s="10">
        <f t="shared" si="10"/>
        <v>0</v>
      </c>
      <c r="I47" s="10">
        <f t="shared" si="10"/>
        <v>356.50838400000004</v>
      </c>
      <c r="J47" s="10"/>
      <c r="K47" s="10"/>
      <c r="L47" s="13">
        <f t="shared" si="10"/>
        <v>1141.9343095687998</v>
      </c>
      <c r="M47" s="8"/>
      <c r="N47" s="13">
        <f>SUM(N48:N66)</f>
        <v>1081.6989095688</v>
      </c>
    </row>
    <row r="48" spans="1:14" hidden="1" outlineLevel="1" x14ac:dyDescent="0.25">
      <c r="A48" t="s">
        <v>146</v>
      </c>
      <c r="B48" t="s">
        <v>181</v>
      </c>
      <c r="C48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48&amp;"]"),0)</f>
        <v>0</v>
      </c>
      <c r="D48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48&amp;"]"),0)-E48</f>
        <v>0</v>
      </c>
      <c r="E48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valor]",base!$AW$5,"[IF].[mes]","[IF].[mes].&amp;["&amp;E$8&amp;"]","[IF].[ano]","[IF].[ano].&amp;["&amp;E$7&amp;"]","[IF].[informacion]","[IF].[informacion].&amp;["&amp;E$9&amp;"]","[IF].[cuenta_ppto]","[IF].[cuenta_ppto].&amp;["&amp;$A48&amp;"]"),0)</f>
        <v>58.236229000000002</v>
      </c>
      <c r="F48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48&amp;"]"),0)</f>
        <v>0</v>
      </c>
      <c r="G48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48&amp;"]"),0)</f>
        <v>0</v>
      </c>
      <c r="H48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48&amp;"]"),0)</f>
        <v>0</v>
      </c>
      <c r="I48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48&amp;"]"),0)</f>
        <v>0</v>
      </c>
      <c r="J48" s="11"/>
      <c r="K48" s="11"/>
      <c r="L48" s="123">
        <f t="shared" ref="L48:L72" si="11">SUM(C48:K48)</f>
        <v>58.236229000000002</v>
      </c>
      <c r="N48" s="123">
        <f>(L48+L50-L22)</f>
        <v>290.54190075000002</v>
      </c>
    </row>
    <row r="49" spans="1:14" hidden="1" outlineLevel="1" x14ac:dyDescent="0.25">
      <c r="A49" t="s">
        <v>147</v>
      </c>
      <c r="B49" t="s">
        <v>182</v>
      </c>
      <c r="C49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49&amp;"]"),0)</f>
        <v>0</v>
      </c>
      <c r="D49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49&amp;"]"),0)-E49</f>
        <v>0</v>
      </c>
      <c r="E49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valor]",base!$AW$5,"[IF].[mes]","[IF].[mes].&amp;["&amp;E$8&amp;"]","[IF].[ano]","[IF].[ano].&amp;["&amp;E$7&amp;"]","[IF].[informacion]","[IF].[informacion].&amp;["&amp;E$9&amp;"]","[IF].[cuenta_ppto]","[IF].[cuenta_ppto].&amp;["&amp;$A49&amp;"]"),0)</f>
        <v>0</v>
      </c>
      <c r="F49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49&amp;"]"),0)</f>
        <v>0</v>
      </c>
      <c r="G49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49&amp;"]"),0)</f>
        <v>0</v>
      </c>
      <c r="H49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49&amp;"]"),0)</f>
        <v>0</v>
      </c>
      <c r="I49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49&amp;"]"),0)</f>
        <v>0</v>
      </c>
      <c r="J49" s="11"/>
      <c r="K49" s="11"/>
      <c r="L49" s="3">
        <f t="shared" si="11"/>
        <v>0</v>
      </c>
      <c r="N49" s="3">
        <f>L49</f>
        <v>0</v>
      </c>
    </row>
    <row r="50" spans="1:14" hidden="1" outlineLevel="1" x14ac:dyDescent="0.25">
      <c r="A50" t="s">
        <v>148</v>
      </c>
      <c r="B50" t="s">
        <v>183</v>
      </c>
      <c r="C50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50&amp;"]"),0)</f>
        <v>0</v>
      </c>
      <c r="D50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50&amp;"]"),0)-E50</f>
        <v>0</v>
      </c>
      <c r="E50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valor]",base!$AW$5,"[IF].[mes]","[IF].[mes].&amp;["&amp;E$8&amp;"]","[IF].[ano]","[IF].[ano].&amp;["&amp;E$7&amp;"]","[IF].[informacion]","[IF].[informacion].&amp;["&amp;E$9&amp;"]","[IF].[cuenta_ppto]","[IF].[cuenta_ppto].&amp;["&amp;$A50&amp;"]"),0)</f>
        <v>131.94959675000001</v>
      </c>
      <c r="F50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50&amp;"]"),0)</f>
        <v>0</v>
      </c>
      <c r="G50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50&amp;"]"),0)</f>
        <v>0</v>
      </c>
      <c r="H50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50&amp;"]"),0)</f>
        <v>0</v>
      </c>
      <c r="I50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50&amp;"]"),0)</f>
        <v>127.10607500000002</v>
      </c>
      <c r="J50" s="11"/>
      <c r="K50" s="11"/>
      <c r="L50" s="123">
        <f t="shared" si="11"/>
        <v>259.05567175000004</v>
      </c>
      <c r="N50" s="3"/>
    </row>
    <row r="51" spans="1:14" hidden="1" outlineLevel="1" x14ac:dyDescent="0.25">
      <c r="A51" t="s">
        <v>149</v>
      </c>
      <c r="B51" t="s">
        <v>184</v>
      </c>
      <c r="C51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51&amp;"]"),0)</f>
        <v>0</v>
      </c>
      <c r="D51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51&amp;"]"),0)-E51</f>
        <v>0</v>
      </c>
      <c r="E51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valor]",base!$AW$5,"[IF].[mes]","[IF].[mes].&amp;["&amp;E$8&amp;"]","[IF].[ano]","[IF].[ano].&amp;["&amp;E$7&amp;"]","[IF].[informacion]","[IF].[informacion].&amp;["&amp;E$9&amp;"]","[IF].[cuenta_ppto]","[IF].[cuenta_ppto].&amp;["&amp;$A51&amp;"]"),0)</f>
        <v>44.598823000000003</v>
      </c>
      <c r="F51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51&amp;"]"),0)</f>
        <v>0</v>
      </c>
      <c r="G51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51&amp;"]"),0)</f>
        <v>0</v>
      </c>
      <c r="H51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51&amp;"]"),0)</f>
        <v>0</v>
      </c>
      <c r="I51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51&amp;"]"),0)</f>
        <v>91.850325999999981</v>
      </c>
      <c r="J51" s="11"/>
      <c r="K51" s="11"/>
      <c r="L51" s="124">
        <f t="shared" si="11"/>
        <v>136.44914899999998</v>
      </c>
      <c r="N51" s="3"/>
    </row>
    <row r="52" spans="1:14" hidden="1" outlineLevel="1" x14ac:dyDescent="0.25">
      <c r="A52" t="s">
        <v>150</v>
      </c>
      <c r="B52" t="s">
        <v>185</v>
      </c>
      <c r="C52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52&amp;"]"),0)</f>
        <v>0</v>
      </c>
      <c r="D52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52&amp;"]"),0)-E52</f>
        <v>0</v>
      </c>
      <c r="E52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valor]",base!$AW$5,"[IF].[mes]","[IF].[mes].&amp;["&amp;E$8&amp;"]","[IF].[ano]","[IF].[ano].&amp;["&amp;E$7&amp;"]","[IF].[informacion]","[IF].[informacion].&amp;["&amp;E$9&amp;"]","[IF].[cuenta_ppto]","[IF].[cuenta_ppto].&amp;["&amp;$A52&amp;"]"),0)</f>
        <v>0</v>
      </c>
      <c r="F52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52&amp;"]"),0)</f>
        <v>0</v>
      </c>
      <c r="G52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52&amp;"]"),0)</f>
        <v>0</v>
      </c>
      <c r="H52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52&amp;"]"),0)</f>
        <v>0</v>
      </c>
      <c r="I52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52&amp;"]"),0)</f>
        <v>-0.49023299999999997</v>
      </c>
      <c r="J52" s="11"/>
      <c r="K52" s="11"/>
      <c r="L52" s="3">
        <f t="shared" si="11"/>
        <v>-0.49023299999999997</v>
      </c>
      <c r="N52" s="3">
        <f t="shared" ref="N52:N65" si="12">L52</f>
        <v>-0.49023299999999997</v>
      </c>
    </row>
    <row r="53" spans="1:14" hidden="1" outlineLevel="1" x14ac:dyDescent="0.25">
      <c r="A53" t="s">
        <v>250</v>
      </c>
      <c r="B53" t="s">
        <v>358</v>
      </c>
      <c r="C53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53&amp;"]"),0)</f>
        <v>0</v>
      </c>
      <c r="D53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53&amp;"]"),0)-E53</f>
        <v>0</v>
      </c>
      <c r="E53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valor]",base!$AW$5,"[IF].[mes]","[IF].[mes].&amp;["&amp;E$8&amp;"]","[IF].[ano]","[IF].[ano].&amp;["&amp;E$7&amp;"]","[IF].[informacion]","[IF].[informacion].&amp;["&amp;E$9&amp;"]","[IF].[cuenta_ppto]","[IF].[cuenta_ppto].&amp;["&amp;$A53&amp;"]"),0)</f>
        <v>0</v>
      </c>
      <c r="F53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53&amp;"]"),0)</f>
        <v>0</v>
      </c>
      <c r="G53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53&amp;"]"),0)</f>
        <v>0</v>
      </c>
      <c r="H53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53&amp;"]"),0)</f>
        <v>0</v>
      </c>
      <c r="I53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53&amp;"]"),0)</f>
        <v>0</v>
      </c>
      <c r="J53" s="11"/>
      <c r="K53" s="11"/>
      <c r="L53" s="3">
        <f t="shared" si="11"/>
        <v>0</v>
      </c>
      <c r="N53" s="3">
        <f t="shared" si="12"/>
        <v>0</v>
      </c>
    </row>
    <row r="54" spans="1:14" hidden="1" outlineLevel="1" x14ac:dyDescent="0.25">
      <c r="A54" t="s">
        <v>151</v>
      </c>
      <c r="B54" t="s">
        <v>186</v>
      </c>
      <c r="C54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54&amp;"]"),0)</f>
        <v>0</v>
      </c>
      <c r="D54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54&amp;"]"),0)-E54</f>
        <v>0</v>
      </c>
      <c r="E54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valor]",base!$AW$5,"[IF].[mes]","[IF].[mes].&amp;["&amp;E$8&amp;"]","[IF].[ano]","[IF].[ano].&amp;["&amp;E$7&amp;"]","[IF].[informacion]","[IF].[informacion].&amp;["&amp;E$9&amp;"]","[IF].[cuenta_ppto]","[IF].[cuenta_ppto].&amp;["&amp;$A54&amp;"]"),0)</f>
        <v>0.17785000000000001</v>
      </c>
      <c r="F54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54&amp;"]"),0)</f>
        <v>0</v>
      </c>
      <c r="G54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54&amp;"]"),0)</f>
        <v>0</v>
      </c>
      <c r="H54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54&amp;"]"),0)</f>
        <v>0</v>
      </c>
      <c r="I54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54&amp;"]"),0)</f>
        <v>1.0941000000000001</v>
      </c>
      <c r="J54" s="11"/>
      <c r="K54" s="11"/>
      <c r="L54" s="3">
        <f t="shared" si="11"/>
        <v>1.2719500000000001</v>
      </c>
      <c r="N54" s="3">
        <f t="shared" si="12"/>
        <v>1.2719500000000001</v>
      </c>
    </row>
    <row r="55" spans="1:14" hidden="1" outlineLevel="1" x14ac:dyDescent="0.25">
      <c r="A55" t="s">
        <v>152</v>
      </c>
      <c r="B55" t="s">
        <v>187</v>
      </c>
      <c r="C55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55&amp;"]"),0)</f>
        <v>0</v>
      </c>
      <c r="D55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55&amp;"]"),0)-E55</f>
        <v>6.8608050000000027</v>
      </c>
      <c r="E55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valor]",base!$AW$5,"[IF].[mes]","[IF].[mes].&amp;["&amp;E$8&amp;"]","[IF].[ano]","[IF].[ano].&amp;["&amp;E$7&amp;"]","[IF].[informacion]","[IF].[informacion].&amp;["&amp;E$9&amp;"]","[IF].[cuenta_ppto]","[IF].[cuenta_ppto].&amp;["&amp;$A55&amp;"]"),0)</f>
        <v>28.096630999999999</v>
      </c>
      <c r="F55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55&amp;"]"),0)</f>
        <v>0</v>
      </c>
      <c r="G55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55&amp;"]"),0)</f>
        <v>0</v>
      </c>
      <c r="H55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55&amp;"]"),0)</f>
        <v>0</v>
      </c>
      <c r="I55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55&amp;"]"),0)</f>
        <v>0</v>
      </c>
      <c r="J55" s="11"/>
      <c r="K55" s="11"/>
      <c r="L55" s="3">
        <f t="shared" si="11"/>
        <v>34.957436000000001</v>
      </c>
      <c r="N55" s="3">
        <f t="shared" si="12"/>
        <v>34.957436000000001</v>
      </c>
    </row>
    <row r="56" spans="1:14" hidden="1" outlineLevel="1" x14ac:dyDescent="0.25">
      <c r="A56" t="s">
        <v>153</v>
      </c>
      <c r="B56" t="s">
        <v>188</v>
      </c>
      <c r="C56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56&amp;"]"),0)</f>
        <v>0</v>
      </c>
      <c r="D56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56&amp;"]"),0)-E56</f>
        <v>0</v>
      </c>
      <c r="E56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valor]",base!$AW$5,"[IF].[mes]","[IF].[mes].&amp;["&amp;E$8&amp;"]","[IF].[ano]","[IF].[ano].&amp;["&amp;E$7&amp;"]","[IF].[informacion]","[IF].[informacion].&amp;["&amp;E$9&amp;"]","[IF].[cuenta_ppto]","[IF].[cuenta_ppto].&amp;["&amp;$A56&amp;"]"),0)</f>
        <v>0.40960000000000002</v>
      </c>
      <c r="F56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56&amp;"]"),0)</f>
        <v>0</v>
      </c>
      <c r="G56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56&amp;"]"),0)</f>
        <v>0</v>
      </c>
      <c r="H56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56&amp;"]"),0)</f>
        <v>0</v>
      </c>
      <c r="I56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56&amp;"]"),0)</f>
        <v>1.6600000000000001</v>
      </c>
      <c r="J56" s="11"/>
      <c r="K56" s="11"/>
      <c r="L56" s="3">
        <f t="shared" si="11"/>
        <v>2.0696000000000003</v>
      </c>
      <c r="N56" s="3">
        <f t="shared" si="12"/>
        <v>2.0696000000000003</v>
      </c>
    </row>
    <row r="57" spans="1:14" hidden="1" outlineLevel="1" x14ac:dyDescent="0.25">
      <c r="A57" t="s">
        <v>154</v>
      </c>
      <c r="B57" t="s">
        <v>189</v>
      </c>
      <c r="C57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57&amp;"]"),0)</f>
        <v>0</v>
      </c>
      <c r="D57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57&amp;"]"),0)-E57</f>
        <v>4.0838110000000007</v>
      </c>
      <c r="E57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valor]",base!$AW$5,"[IF].[mes]","[IF].[mes].&amp;["&amp;E$8&amp;"]","[IF].[ano]","[IF].[ano].&amp;["&amp;E$7&amp;"]","[IF].[informacion]","[IF].[informacion].&amp;["&amp;E$9&amp;"]","[IF].[cuenta_ppto]","[IF].[cuenta_ppto].&amp;["&amp;$A57&amp;"]"),0)</f>
        <v>16.724177999999998</v>
      </c>
      <c r="F57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57&amp;"]"),0)</f>
        <v>0</v>
      </c>
      <c r="G57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57&amp;"]"),0)</f>
        <v>0</v>
      </c>
      <c r="H57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57&amp;"]"),0)</f>
        <v>0</v>
      </c>
      <c r="I57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57&amp;"]"),0)</f>
        <v>0</v>
      </c>
      <c r="J57" s="11"/>
      <c r="K57" s="11"/>
      <c r="L57" s="3">
        <f t="shared" si="11"/>
        <v>20.807988999999999</v>
      </c>
      <c r="N57" s="3">
        <f t="shared" si="12"/>
        <v>20.807988999999999</v>
      </c>
    </row>
    <row r="58" spans="1:14" hidden="1" outlineLevel="1" x14ac:dyDescent="0.25">
      <c r="A58" t="s">
        <v>155</v>
      </c>
      <c r="B58" t="s">
        <v>190</v>
      </c>
      <c r="C58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58&amp;"]"),0)</f>
        <v>0</v>
      </c>
      <c r="D58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58&amp;"]"),0)-E58</f>
        <v>6.9774560000000001</v>
      </c>
      <c r="E58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valor]",base!$AW$5,"[IF].[mes]","[IF].[mes].&amp;["&amp;E$8&amp;"]","[IF].[ano]","[IF].[ano].&amp;["&amp;E$7&amp;"]","[IF].[informacion]","[IF].[informacion].&amp;["&amp;E$9&amp;"]","[IF].[cuenta_ppto]","[IF].[cuenta_ppto].&amp;["&amp;$A58&amp;"]"),0)</f>
        <v>28.574346999999999</v>
      </c>
      <c r="F58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58&amp;"]"),0)</f>
        <v>0</v>
      </c>
      <c r="G58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58&amp;"]"),0)</f>
        <v>0</v>
      </c>
      <c r="H58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58&amp;"]"),0)</f>
        <v>0</v>
      </c>
      <c r="I58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58&amp;"]"),0)</f>
        <v>0</v>
      </c>
      <c r="J58" s="11"/>
      <c r="K58" s="11"/>
      <c r="L58" s="3">
        <f t="shared" si="11"/>
        <v>35.551803</v>
      </c>
      <c r="N58" s="3">
        <f t="shared" si="12"/>
        <v>35.551803</v>
      </c>
    </row>
    <row r="59" spans="1:14" hidden="1" outlineLevel="1" x14ac:dyDescent="0.25">
      <c r="A59" t="s">
        <v>156</v>
      </c>
      <c r="B59" t="s">
        <v>191</v>
      </c>
      <c r="C59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59&amp;"]"),0)</f>
        <v>0</v>
      </c>
      <c r="D59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59&amp;"]"),0)-E59</f>
        <v>2.7209839999999996</v>
      </c>
      <c r="E59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valor]",base!$AW$5,"[IF].[mes]","[IF].[mes].&amp;["&amp;E$8&amp;"]","[IF].[ano]","[IF].[ano].&amp;["&amp;E$7&amp;"]","[IF].[informacion]","[IF].[informacion].&amp;["&amp;E$9&amp;"]","[IF].[cuenta_ppto]","[IF].[cuenta_ppto].&amp;["&amp;$A59&amp;"]"),0)</f>
        <v>11.143079</v>
      </c>
      <c r="F59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59&amp;"]"),0)</f>
        <v>0</v>
      </c>
      <c r="G59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59&amp;"]"),0)</f>
        <v>0</v>
      </c>
      <c r="H59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59&amp;"]"),0)</f>
        <v>0</v>
      </c>
      <c r="I59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59&amp;"]"),0)</f>
        <v>0</v>
      </c>
      <c r="J59" s="11"/>
      <c r="K59" s="11"/>
      <c r="L59" s="3">
        <f t="shared" si="11"/>
        <v>13.864063</v>
      </c>
      <c r="N59" s="3">
        <f t="shared" si="12"/>
        <v>13.864063</v>
      </c>
    </row>
    <row r="60" spans="1:14" hidden="1" outlineLevel="1" x14ac:dyDescent="0.25">
      <c r="A60" t="s">
        <v>157</v>
      </c>
      <c r="B60" t="s">
        <v>192</v>
      </c>
      <c r="C60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60&amp;"]"),0)</f>
        <v>0</v>
      </c>
      <c r="D60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60&amp;"]"),0)-E60</f>
        <v>10.330888999999999</v>
      </c>
      <c r="E60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valor]",base!$AW$5,"[IF].[mes]","[IF].[mes].&amp;["&amp;E$8&amp;"]","[IF].[ano]","[IF].[ano].&amp;["&amp;E$7&amp;"]","[IF].[informacion]","[IF].[informacion].&amp;["&amp;E$9&amp;"]","[IF].[cuenta_ppto]","[IF].[cuenta_ppto].&amp;["&amp;$A60&amp;"]"),0)</f>
        <v>13.765991</v>
      </c>
      <c r="F60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60&amp;"]"),0)</f>
        <v>0</v>
      </c>
      <c r="G60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60&amp;"]"),0)</f>
        <v>0</v>
      </c>
      <c r="H60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60&amp;"]"),0)</f>
        <v>0</v>
      </c>
      <c r="I60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60&amp;"]"),0)</f>
        <v>67.119780000000006</v>
      </c>
      <c r="J60" s="11"/>
      <c r="K60" s="11"/>
      <c r="L60" s="3">
        <f t="shared" si="11"/>
        <v>91.216660000000005</v>
      </c>
      <c r="N60" s="3">
        <f t="shared" si="12"/>
        <v>91.216660000000005</v>
      </c>
    </row>
    <row r="61" spans="1:14" hidden="1" outlineLevel="1" x14ac:dyDescent="0.25">
      <c r="A61" t="s">
        <v>158</v>
      </c>
      <c r="B61" t="s">
        <v>193</v>
      </c>
      <c r="C61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61&amp;"]"),0)</f>
        <v>0</v>
      </c>
      <c r="D61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61&amp;"]"),0)-E61</f>
        <v>2.3759999999999999</v>
      </c>
      <c r="E61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valor]",base!$AW$5,"[IF].[mes]","[IF].[mes].&amp;["&amp;E$8&amp;"]","[IF].[ano]","[IF].[ano].&amp;["&amp;E$7&amp;"]","[IF].[informacion]","[IF].[informacion].&amp;["&amp;E$9&amp;"]","[IF].[cuenta_ppto]","[IF].[cuenta_ppto].&amp;["&amp;$A61&amp;"]"),0)</f>
        <v>0</v>
      </c>
      <c r="F61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61&amp;"]"),0)</f>
        <v>0</v>
      </c>
      <c r="G61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61&amp;"]"),0)</f>
        <v>0</v>
      </c>
      <c r="H61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61&amp;"]"),0)</f>
        <v>0</v>
      </c>
      <c r="I61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61&amp;"]"),0)</f>
        <v>0.32</v>
      </c>
      <c r="J61" s="11"/>
      <c r="K61" s="11"/>
      <c r="L61" s="3">
        <f t="shared" si="11"/>
        <v>2.6959999999999997</v>
      </c>
      <c r="N61" s="3">
        <f t="shared" si="12"/>
        <v>2.6959999999999997</v>
      </c>
    </row>
    <row r="62" spans="1:14" hidden="1" outlineLevel="1" x14ac:dyDescent="0.25">
      <c r="A62" t="s">
        <v>159</v>
      </c>
      <c r="B62" t="s">
        <v>194</v>
      </c>
      <c r="C62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62&amp;"]"),0)</f>
        <v>0</v>
      </c>
      <c r="D62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62&amp;"]"),0)-E62</f>
        <v>11.452685999999998</v>
      </c>
      <c r="E62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valor]",base!$AW$5,"[IF].[mes]","[IF].[mes].&amp;["&amp;E$8&amp;"]","[IF].[ano]","[IF].[ano].&amp;["&amp;E$7&amp;"]","[IF].[informacion]","[IF].[informacion].&amp;["&amp;E$9&amp;"]","[IF].[cuenta_ppto]","[IF].[cuenta_ppto].&amp;["&amp;$A62&amp;"]"),0)</f>
        <v>14.958639</v>
      </c>
      <c r="F62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62&amp;"]"),0)</f>
        <v>0</v>
      </c>
      <c r="G62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62&amp;"]"),0)</f>
        <v>0</v>
      </c>
      <c r="H62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62&amp;"]"),0)</f>
        <v>0</v>
      </c>
      <c r="I62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62&amp;"]"),0)</f>
        <v>0</v>
      </c>
      <c r="J62" s="11"/>
      <c r="K62" s="11"/>
      <c r="L62" s="3">
        <f t="shared" si="11"/>
        <v>26.411324999999998</v>
      </c>
      <c r="N62" s="3">
        <f t="shared" si="12"/>
        <v>26.411324999999998</v>
      </c>
    </row>
    <row r="63" spans="1:14" hidden="1" outlineLevel="1" x14ac:dyDescent="0.25">
      <c r="A63" t="s">
        <v>160</v>
      </c>
      <c r="B63" t="s">
        <v>195</v>
      </c>
      <c r="C63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63&amp;"]"),0)</f>
        <v>0</v>
      </c>
      <c r="D63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63&amp;"]"),0)-E63</f>
        <v>7.658180999999999</v>
      </c>
      <c r="E63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valor]",base!$AW$5,"[IF].[mes]","[IF].[mes].&amp;["&amp;E$8&amp;"]","[IF].[ano]","[IF].[ano].&amp;["&amp;E$7&amp;"]","[IF].[informacion]","[IF].[informacion].&amp;["&amp;E$9&amp;"]","[IF].[cuenta_ppto]","[IF].[cuenta_ppto].&amp;["&amp;$A63&amp;"]"),0)</f>
        <v>56.171042999999997</v>
      </c>
      <c r="F63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63&amp;"]"),0)</f>
        <v>0.39550000000000002</v>
      </c>
      <c r="G63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63&amp;"]"),0)</f>
        <v>0</v>
      </c>
      <c r="H63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63&amp;"]"),0)</f>
        <v>0</v>
      </c>
      <c r="I63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63&amp;"]"),0)</f>
        <v>67.848336000000003</v>
      </c>
      <c r="J63" s="11"/>
      <c r="K63" s="11"/>
      <c r="L63" s="3">
        <f t="shared" si="11"/>
        <v>132.07306</v>
      </c>
      <c r="N63" s="3">
        <f t="shared" si="12"/>
        <v>132.07306</v>
      </c>
    </row>
    <row r="64" spans="1:14" hidden="1" outlineLevel="1" x14ac:dyDescent="0.25">
      <c r="A64" t="s">
        <v>161</v>
      </c>
      <c r="B64" t="s">
        <v>196</v>
      </c>
      <c r="C64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64&amp;"]"),0)</f>
        <v>0</v>
      </c>
      <c r="D64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64&amp;"]"),0)-E64</f>
        <v>0</v>
      </c>
      <c r="E64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valor]",base!$AW$5,"[IF].[mes]","[IF].[mes].&amp;["&amp;E$8&amp;"]","[IF].[ano]","[IF].[ano].&amp;["&amp;E$7&amp;"]","[IF].[informacion]","[IF].[informacion].&amp;["&amp;E$9&amp;"]","[IF].[cuenta_ppto]","[IF].[cuenta_ppto].&amp;["&amp;$A64&amp;"]"),0)</f>
        <v>0</v>
      </c>
      <c r="F64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64&amp;"]"),0)</f>
        <v>0</v>
      </c>
      <c r="G64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64&amp;"]"),0)</f>
        <v>0</v>
      </c>
      <c r="H64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64&amp;"]"),0)</f>
        <v>0</v>
      </c>
      <c r="I64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64&amp;"]"),0)</f>
        <v>0</v>
      </c>
      <c r="J64" s="11"/>
      <c r="K64" s="11"/>
      <c r="L64" s="3">
        <f t="shared" si="11"/>
        <v>0</v>
      </c>
      <c r="N64" s="3">
        <f t="shared" si="12"/>
        <v>0</v>
      </c>
    </row>
    <row r="65" spans="1:14" hidden="1" outlineLevel="1" x14ac:dyDescent="0.25">
      <c r="A65" t="s">
        <v>162</v>
      </c>
      <c r="B65" t="s">
        <v>197</v>
      </c>
      <c r="C65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65&amp;"]"),0)</f>
        <v>0</v>
      </c>
      <c r="D65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65&amp;"]"),0)-E65</f>
        <v>0</v>
      </c>
      <c r="E65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valor]",base!$AW$5,"[IF].[mes]","[IF].[mes].&amp;["&amp;E$8&amp;"]","[IF].[ano]","[IF].[ano].&amp;["&amp;E$7&amp;"]","[IF].[informacion]","[IF].[informacion].&amp;["&amp;E$9&amp;"]","[IF].[cuenta_ppto]","[IF].[cuenta_ppto].&amp;["&amp;$A65&amp;"]"),0)</f>
        <v>0</v>
      </c>
      <c r="F65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65&amp;"]"),0)</f>
        <v>0</v>
      </c>
      <c r="G65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65&amp;"]"),0)</f>
        <v>0</v>
      </c>
      <c r="H65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65&amp;"]"),0)</f>
        <v>0</v>
      </c>
      <c r="I65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65&amp;"]"),0)</f>
        <v>0</v>
      </c>
      <c r="J65" s="11"/>
      <c r="K65" s="11"/>
      <c r="L65" s="3">
        <f t="shared" si="11"/>
        <v>0</v>
      </c>
      <c r="N65" s="3">
        <f t="shared" si="12"/>
        <v>0</v>
      </c>
    </row>
    <row r="66" spans="1:14" hidden="1" outlineLevel="1" x14ac:dyDescent="0.25">
      <c r="A66" t="s">
        <v>163</v>
      </c>
      <c r="B66" t="s">
        <v>198</v>
      </c>
      <c r="C66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66&amp;"]"),0)</f>
        <v>0</v>
      </c>
      <c r="D66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66&amp;"]"),0)-E66</f>
        <v>98.661945860536918</v>
      </c>
      <c r="E66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valor]",base!$AW$5,"[IF].[mes]","[IF].[mes].&amp;["&amp;E$8&amp;"]","[IF].[ano]","[IF].[ano].&amp;["&amp;E$7&amp;"]","[IF].[informacion]","[IF].[informacion].&amp;["&amp;E$9&amp;"]","[IF].[cuenta_ppto]","[IF].[cuenta_ppto].&amp;["&amp;$A66&amp;"]"),0)</f>
        <v>229.10166095826301</v>
      </c>
      <c r="F66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66&amp;"]"),0)</f>
        <v>0</v>
      </c>
      <c r="G66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66&amp;"]"),0)</f>
        <v>0</v>
      </c>
      <c r="H66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66&amp;"]"),0)</f>
        <v>0</v>
      </c>
      <c r="I66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66&amp;"]"),0)</f>
        <v>0</v>
      </c>
      <c r="J66" s="11"/>
      <c r="K66" s="11"/>
      <c r="L66" s="124">
        <f t="shared" si="11"/>
        <v>327.76360681879993</v>
      </c>
      <c r="N66" s="124">
        <f>(L66+L51)-(L23+L35)</f>
        <v>430.72735581879988</v>
      </c>
    </row>
    <row r="67" spans="1:14" x14ac:dyDescent="0.25">
      <c r="B67" t="s">
        <v>204</v>
      </c>
      <c r="C67" s="9">
        <f>IFERROR(GETPIVOTDATA("[Measures].[Suma de valor]",base!$A$3,"[IF].[departamento_jerarquia2]","[IF].[departamento_jerarquia2].&amp;["&amp;C$5&amp;"]","[IF].[grupo_analisis]","[IF].[grupo_analisis].&amp;["&amp;$B67&amp;"]","[IF].[mes]","[IF].[mes].&amp;["&amp;C$8&amp;"]","[IF].[ano]","[IF].[ano].&amp;["&amp;C$7&amp;"]","[IF].[informacion]","[IF].[informacion].&amp;["&amp;C$9&amp;"]"),0)</f>
        <v>0</v>
      </c>
      <c r="D67" s="9">
        <f>IFERROR(GETPIVOTDATA("[Measures].[Suma de valor]",base!$A$3,"[IF].[departamento_jerarquia2]","[IF].[departamento_jerarquia2].&amp;["&amp;D$5&amp;"]","[IF].[grupo_analisis]","[IF].[grupo_analisis].&amp;["&amp;$B67&amp;"]","[IF].[mes]","[IF].[mes].&amp;["&amp;D$8&amp;"]","[IF].[ano]","[IF].[ano].&amp;["&amp;D$7&amp;"]","[IF].[informacion]","[IF].[informacion].&amp;["&amp;D$9&amp;"]"),0)-E67</f>
        <v>0</v>
      </c>
      <c r="E67" s="9">
        <f>IFERROR(GETPIVOTDATA("[Measures].[Suma de valor]",base!$AN$5,"[IF].[grupo_analisis]","[IF].[grupo_analisis].&amp;["&amp;$B67&amp;"]","[IF].[mes]","[IF].[mes].&amp;["&amp;E$8&amp;"]","[IF].[ano]","[IF].[ano].&amp;["&amp;E$7&amp;"]","[IF].[informacion]","[IF].[informacion].&amp;["&amp;E$9&amp;"]"),0)</f>
        <v>0</v>
      </c>
      <c r="F67" s="9">
        <f>IFERROR(GETPIVOTDATA("[Measures].[Suma de valor]",base!$A$3,"[IF].[departamento_jerarquia2]","[IF].[departamento_jerarquia2].&amp;["&amp;F$5&amp;"]","[IF].[grupo_analisis]","[IF].[grupo_analisis].&amp;["&amp;$B67&amp;"]","[IF].[mes]","[IF].[mes].&amp;["&amp;F$8&amp;"]","[IF].[ano]","[IF].[ano].&amp;["&amp;F$7&amp;"]","[IF].[informacion]","[IF].[informacion].&amp;["&amp;F$9&amp;"]"),0)</f>
        <v>0</v>
      </c>
      <c r="G67" s="9">
        <f>IFERROR(GETPIVOTDATA("[Measures].[Suma de valor]",base!$A$3,"[IF].[departamento_jerarquia2]","[IF].[departamento_jerarquia2].&amp;["&amp;G$5&amp;"]","[IF].[grupo_analisis]","[IF].[grupo_analisis].&amp;["&amp;$B67&amp;"]","[IF].[mes]","[IF].[mes].&amp;["&amp;G$8&amp;"]","[IF].[ano]","[IF].[ano].&amp;["&amp;G$7&amp;"]","[IF].[informacion]","[IF].[informacion].&amp;["&amp;G$9&amp;"]"),0)</f>
        <v>0</v>
      </c>
      <c r="H67" s="9">
        <f>IFERROR(GETPIVOTDATA("[Measures].[Suma de valor]",base!$A$3,"[IF].[departamento_jerarquia2]","[IF].[departamento_jerarquia2].&amp;["&amp;H$5&amp;"]","[IF].[grupo_analisis]","[IF].[grupo_analisis].&amp;["&amp;$B67&amp;"]","[IF].[mes]","[IF].[mes].&amp;["&amp;H$8&amp;"]","[IF].[ano]","[IF].[ano].&amp;["&amp;H$7&amp;"]","[IF].[informacion]","[IF].[informacion].&amp;["&amp;H$9&amp;"]"),0)</f>
        <v>0</v>
      </c>
      <c r="I67" s="9">
        <f>IFERROR(GETPIVOTDATA("[Measures].[Suma de valor]",base!$A$3,"[IF].[departamento_jerarquia2]","[IF].[departamento_jerarquia2].&amp;["&amp;I$5&amp;"]","[IF].[grupo_analisis]","[IF].[grupo_analisis].&amp;["&amp;$B67&amp;"]","[IF].[mes]","[IF].[mes].&amp;["&amp;I$8&amp;"]","[IF].[ano]","[IF].[ano].&amp;["&amp;I$7&amp;"]","[IF].[informacion]","[IF].[informacion].&amp;["&amp;I$9&amp;"]"),0)</f>
        <v>0</v>
      </c>
      <c r="J67" s="9"/>
      <c r="K67" s="9"/>
      <c r="L67" s="12">
        <f t="shared" si="11"/>
        <v>0</v>
      </c>
      <c r="N67" s="12">
        <f t="shared" ref="N67:N72" si="13">L67</f>
        <v>0</v>
      </c>
    </row>
    <row r="68" spans="1:14" x14ac:dyDescent="0.25">
      <c r="B68" t="s">
        <v>205</v>
      </c>
      <c r="C68" s="9">
        <f>IFERROR(GETPIVOTDATA("[Measures].[Suma de valor]",base!$A$3,"[IF].[departamento_jerarquia2]","[IF].[departamento_jerarquia2].&amp;["&amp;C$5&amp;"]","[IF].[grupo_analisis]","[IF].[grupo_analisis].&amp;["&amp;$B68&amp;"]","[IF].[mes]","[IF].[mes].&amp;["&amp;C$8&amp;"]","[IF].[ano]","[IF].[ano].&amp;["&amp;C$7&amp;"]","[IF].[informacion]","[IF].[informacion].&amp;["&amp;C$9&amp;"]"),0)</f>
        <v>0</v>
      </c>
      <c r="D68" s="9">
        <f>IFERROR(GETPIVOTDATA("[Measures].[Suma de valor]",base!$A$3,"[IF].[departamento_jerarquia2]","[IF].[departamento_jerarquia2].&amp;["&amp;D$5&amp;"]","[IF].[grupo_analisis]","[IF].[grupo_analisis].&amp;["&amp;$B68&amp;"]","[IF].[mes]","[IF].[mes].&amp;["&amp;D$8&amp;"]","[IF].[ano]","[IF].[ano].&amp;["&amp;D$7&amp;"]","[IF].[informacion]","[IF].[informacion].&amp;["&amp;D$9&amp;"]"),0)-E68</f>
        <v>1.0545919999999995</v>
      </c>
      <c r="E68" s="9">
        <f>IFERROR(GETPIVOTDATA("[Measures].[Suma de valor]",base!$AN$5,"[IF].[grupo_analisis]","[IF].[grupo_analisis].&amp;["&amp;$B68&amp;"]","[IF].[mes]","[IF].[mes].&amp;["&amp;E$8&amp;"]","[IF].[ano]","[IF].[ano].&amp;["&amp;E$7&amp;"]","[IF].[informacion]","[IF].[informacion].&amp;["&amp;E$9&amp;"]"),0)</f>
        <v>7.6685210000000001</v>
      </c>
      <c r="F68" s="9">
        <f>IFERROR(GETPIVOTDATA("[Measures].[Suma de valor]",base!$A$3,"[IF].[departamento_jerarquia2]","[IF].[departamento_jerarquia2].&amp;["&amp;F$5&amp;"]","[IF].[grupo_analisis]","[IF].[grupo_analisis].&amp;["&amp;$B68&amp;"]","[IF].[mes]","[IF].[mes].&amp;["&amp;F$8&amp;"]","[IF].[ano]","[IF].[ano].&amp;["&amp;F$7&amp;"]","[IF].[informacion]","[IF].[informacion].&amp;["&amp;F$9&amp;"]"),0)</f>
        <v>5.4744000000000001E-2</v>
      </c>
      <c r="G68" s="9">
        <f>IFERROR(GETPIVOTDATA("[Measures].[Suma de valor]",base!$A$3,"[IF].[departamento_jerarquia2]","[IF].[departamento_jerarquia2].&amp;["&amp;G$5&amp;"]","[IF].[grupo_analisis]","[IF].[grupo_analisis].&amp;["&amp;$B68&amp;"]","[IF].[mes]","[IF].[mes].&amp;["&amp;G$8&amp;"]","[IF].[ano]","[IF].[ano].&amp;["&amp;G$7&amp;"]","[IF].[informacion]","[IF].[informacion].&amp;["&amp;G$9&amp;"]"),0)</f>
        <v>0</v>
      </c>
      <c r="H68" s="9">
        <f>IFERROR(GETPIVOTDATA("[Measures].[Suma de valor]",base!$A$3,"[IF].[departamento_jerarquia2]","[IF].[departamento_jerarquia2].&amp;["&amp;H$5&amp;"]","[IF].[grupo_analisis]","[IF].[grupo_analisis].&amp;["&amp;$B68&amp;"]","[IF].[mes]","[IF].[mes].&amp;["&amp;H$8&amp;"]","[IF].[ano]","[IF].[ano].&amp;["&amp;H$7&amp;"]","[IF].[informacion]","[IF].[informacion].&amp;["&amp;H$9&amp;"]"),0)</f>
        <v>0</v>
      </c>
      <c r="I68" s="9">
        <f>IFERROR(GETPIVOTDATA("[Measures].[Suma de valor]",base!$A$3,"[IF].[departamento_jerarquia2]","[IF].[departamento_jerarquia2].&amp;["&amp;I$5&amp;"]","[IF].[grupo_analisis]","[IF].[grupo_analisis].&amp;["&amp;$B68&amp;"]","[IF].[mes]","[IF].[mes].&amp;["&amp;I$8&amp;"]","[IF].[ano]","[IF].[ano].&amp;["&amp;I$7&amp;"]","[IF].[informacion]","[IF].[informacion].&amp;["&amp;I$9&amp;"]"),0)</f>
        <v>14.819883519999999</v>
      </c>
      <c r="J68" s="9"/>
      <c r="K68" s="9"/>
      <c r="L68" s="12">
        <f t="shared" si="11"/>
        <v>23.597740519999999</v>
      </c>
      <c r="N68" s="12">
        <f t="shared" si="13"/>
        <v>23.597740519999999</v>
      </c>
    </row>
    <row r="69" spans="1:14" x14ac:dyDescent="0.25">
      <c r="B69" t="s">
        <v>115</v>
      </c>
      <c r="C69" s="9">
        <f>IFERROR(GETPIVOTDATA("[Measures].[Suma de valor]",base!$A$3,"[IF].[departamento_jerarquia2]","[IF].[departamento_jerarquia2].&amp;["&amp;C$5&amp;"]","[IF].[grupo_analisis]","[IF].[grupo_analisis].&amp;["&amp;$B69&amp;"]","[IF].[mes]","[IF].[mes].&amp;["&amp;C$8&amp;"]","[IF].[ano]","[IF].[ano].&amp;["&amp;C$7&amp;"]","[IF].[informacion]","[IF].[informacion].&amp;["&amp;C$9&amp;"]"),0)</f>
        <v>0</v>
      </c>
      <c r="D69" s="9">
        <f>IFERROR(GETPIVOTDATA("[Measures].[Suma de valor]",base!$A$3,"[IF].[departamento_jerarquia2]","[IF].[departamento_jerarquia2].&amp;["&amp;D$5&amp;"]","[IF].[grupo_analisis]","[IF].[grupo_analisis].&amp;["&amp;$B69&amp;"]","[IF].[mes]","[IF].[mes].&amp;["&amp;D$8&amp;"]","[IF].[ano]","[IF].[ano].&amp;["&amp;D$7&amp;"]","[IF].[informacion]","[IF].[informacion].&amp;["&amp;D$9&amp;"]"),0)-E69</f>
        <v>0</v>
      </c>
      <c r="E69" s="9">
        <f>IFERROR(GETPIVOTDATA("[Measures].[Suma de valor]",base!$AN$5,"[IF].[grupo_analisis]","[IF].[grupo_analisis].&amp;["&amp;$B69&amp;"]","[IF].[mes]","[IF].[mes].&amp;["&amp;E$8&amp;"]","[IF].[ano]","[IF].[ano].&amp;["&amp;E$7&amp;"]","[IF].[informacion]","[IF].[informacion].&amp;["&amp;E$9&amp;"]"),0)</f>
        <v>2.5000000000000001E-2</v>
      </c>
      <c r="F69" s="9">
        <f>IFERROR(GETPIVOTDATA("[Measures].[Suma de valor]",base!$A$3,"[IF].[departamento_jerarquia2]","[IF].[departamento_jerarquia2].&amp;["&amp;F$5&amp;"]","[IF].[grupo_analisis]","[IF].[grupo_analisis].&amp;["&amp;$B69&amp;"]","[IF].[mes]","[IF].[mes].&amp;["&amp;F$8&amp;"]","[IF].[ano]","[IF].[ano].&amp;["&amp;F$7&amp;"]","[IF].[informacion]","[IF].[informacion].&amp;["&amp;F$9&amp;"]"),0)</f>
        <v>0</v>
      </c>
      <c r="G69" s="9">
        <f>IFERROR(GETPIVOTDATA("[Measures].[Suma de valor]",base!$A$3,"[IF].[departamento_jerarquia2]","[IF].[departamento_jerarquia2].&amp;["&amp;G$5&amp;"]","[IF].[grupo_analisis]","[IF].[grupo_analisis].&amp;["&amp;$B69&amp;"]","[IF].[mes]","[IF].[mes].&amp;["&amp;G$8&amp;"]","[IF].[ano]","[IF].[ano].&amp;["&amp;G$7&amp;"]","[IF].[informacion]","[IF].[informacion].&amp;["&amp;G$9&amp;"]"),0)</f>
        <v>0</v>
      </c>
      <c r="H69" s="9">
        <f>IFERROR(GETPIVOTDATA("[Measures].[Suma de valor]",base!$A$3,"[IF].[departamento_jerarquia2]","[IF].[departamento_jerarquia2].&amp;["&amp;H$5&amp;"]","[IF].[grupo_analisis]","[IF].[grupo_analisis].&amp;["&amp;$B69&amp;"]","[IF].[mes]","[IF].[mes].&amp;["&amp;H$8&amp;"]","[IF].[ano]","[IF].[ano].&amp;["&amp;H$7&amp;"]","[IF].[informacion]","[IF].[informacion].&amp;["&amp;H$9&amp;"]"),0)</f>
        <v>0</v>
      </c>
      <c r="I69" s="9">
        <f>IFERROR(GETPIVOTDATA("[Measures].[Suma de valor]",base!$A$3,"[IF].[departamento_jerarquia2]","[IF].[departamento_jerarquia2].&amp;["&amp;I$5&amp;"]","[IF].[grupo_analisis]","[IF].[grupo_analisis].&amp;["&amp;$B69&amp;"]","[IF].[mes]","[IF].[mes].&amp;["&amp;I$8&amp;"]","[IF].[ano]","[IF].[ano].&amp;["&amp;I$7&amp;"]","[IF].[informacion]","[IF].[informacion].&amp;["&amp;I$9&amp;"]"),0)</f>
        <v>0.32827080000000003</v>
      </c>
      <c r="J69" s="9"/>
      <c r="K69" s="9"/>
      <c r="L69" s="12">
        <f t="shared" si="11"/>
        <v>0.35327080000000005</v>
      </c>
      <c r="N69" s="12">
        <f t="shared" si="13"/>
        <v>0.35327080000000005</v>
      </c>
    </row>
    <row r="70" spans="1:14" x14ac:dyDescent="0.25">
      <c r="B70" t="s">
        <v>103</v>
      </c>
      <c r="C70" s="9">
        <f>IFERROR(GETPIVOTDATA("[Measures].[Suma de valor]",base!$A$3,"[IF].[departamento_jerarquia2]","[IF].[departamento_jerarquia2].&amp;["&amp;C$5&amp;"]","[IF].[grupo_analisis]","[IF].[grupo_analisis].&amp;["&amp;$B70&amp;"]","[IF].[mes]","[IF].[mes].&amp;["&amp;C$8&amp;"]","[IF].[ano]","[IF].[ano].&amp;["&amp;C$7&amp;"]","[IF].[informacion]","[IF].[informacion].&amp;["&amp;C$9&amp;"]"),0)</f>
        <v>0</v>
      </c>
      <c r="D70" s="9">
        <f>IFERROR(GETPIVOTDATA("[Measures].[Suma de valor]",base!$A$3,"[IF].[departamento_jerarquia2]","[IF].[departamento_jerarquia2].&amp;["&amp;D$5&amp;"]","[IF].[grupo_analisis]","[IF].[grupo_analisis].&amp;["&amp;$B70&amp;"]","[IF].[mes]","[IF].[mes].&amp;["&amp;D$8&amp;"]","[IF].[ano]","[IF].[ano].&amp;["&amp;D$7&amp;"]","[IF].[informacion]","[IF].[informacion].&amp;["&amp;D$9&amp;"]"),0)-E70</f>
        <v>0</v>
      </c>
      <c r="E70" s="9">
        <f>IFERROR(GETPIVOTDATA("[Measures].[Suma de valor]",base!$AN$5,"[IF].[grupo_analisis]","[IF].[grupo_analisis].&amp;["&amp;$B70&amp;"]","[IF].[mes]","[IF].[mes].&amp;["&amp;E$8&amp;"]","[IF].[ano]","[IF].[ano].&amp;["&amp;E$7&amp;"]","[IF].[informacion]","[IF].[informacion].&amp;["&amp;E$9&amp;"]"),0)</f>
        <v>0</v>
      </c>
      <c r="F70" s="9">
        <f>IFERROR(GETPIVOTDATA("[Measures].[Suma de valor]",base!$A$3,"[IF].[departamento_jerarquia2]","[IF].[departamento_jerarquia2].&amp;["&amp;F$5&amp;"]","[IF].[grupo_analisis]","[IF].[grupo_analisis].&amp;["&amp;$B70&amp;"]","[IF].[mes]","[IF].[mes].&amp;["&amp;F$8&amp;"]","[IF].[ano]","[IF].[ano].&amp;["&amp;F$7&amp;"]","[IF].[informacion]","[IF].[informacion].&amp;["&amp;F$9&amp;"]"),0)</f>
        <v>0</v>
      </c>
      <c r="G70" s="9">
        <f>IFERROR(GETPIVOTDATA("[Measures].[Suma de valor]",base!$A$3,"[IF].[departamento_jerarquia2]","[IF].[departamento_jerarquia2].&amp;["&amp;G$5&amp;"]","[IF].[grupo_analisis]","[IF].[grupo_analisis].&amp;["&amp;$B70&amp;"]","[IF].[mes]","[IF].[mes].&amp;["&amp;G$8&amp;"]","[IF].[ano]","[IF].[ano].&amp;["&amp;G$7&amp;"]","[IF].[informacion]","[IF].[informacion].&amp;["&amp;G$9&amp;"]"),0)</f>
        <v>0</v>
      </c>
      <c r="H70" s="9">
        <f>IFERROR(GETPIVOTDATA("[Measures].[Suma de valor]",base!$A$3,"[IF].[departamento_jerarquia2]","[IF].[departamento_jerarquia2].&amp;["&amp;H$5&amp;"]","[IF].[grupo_analisis]","[IF].[grupo_analisis].&amp;["&amp;$B70&amp;"]","[IF].[mes]","[IF].[mes].&amp;["&amp;H$8&amp;"]","[IF].[ano]","[IF].[ano].&amp;["&amp;H$7&amp;"]","[IF].[informacion]","[IF].[informacion].&amp;["&amp;H$9&amp;"]"),0)</f>
        <v>0</v>
      </c>
      <c r="I70" s="9">
        <f>IFERROR(GETPIVOTDATA("[Measures].[Suma de valor]",base!$A$3,"[IF].[departamento_jerarquia2]","[IF].[departamento_jerarquia2].&amp;["&amp;I$5&amp;"]","[IF].[grupo_analisis]","[IF].[grupo_analisis].&amp;["&amp;$B70&amp;"]","[IF].[mes]","[IF].[mes].&amp;["&amp;I$8&amp;"]","[IF].[ano]","[IF].[ano].&amp;["&amp;I$7&amp;"]","[IF].[informacion]","[IF].[informacion].&amp;["&amp;I$9&amp;"]"),0)</f>
        <v>0</v>
      </c>
      <c r="J70" s="9"/>
      <c r="K70" s="9"/>
      <c r="L70" s="12">
        <f t="shared" si="11"/>
        <v>0</v>
      </c>
      <c r="N70" s="12">
        <f t="shared" si="13"/>
        <v>0</v>
      </c>
    </row>
    <row r="71" spans="1:14" x14ac:dyDescent="0.25">
      <c r="B71" t="s">
        <v>206</v>
      </c>
      <c r="C71" s="9">
        <f>IFERROR(GETPIVOTDATA("[Measures].[Suma de valor]",base!$A$3,"[IF].[departamento_jerarquia2]","[IF].[departamento_jerarquia2].&amp;["&amp;C$5&amp;"]","[IF].[grupo_analisis]","[IF].[grupo_analisis].&amp;["&amp;$B71&amp;"]","[IF].[mes]","[IF].[mes].&amp;["&amp;C$8&amp;"]","[IF].[ano]","[IF].[ano].&amp;["&amp;C$7&amp;"]","[IF].[informacion]","[IF].[informacion].&amp;["&amp;C$9&amp;"]"),0)</f>
        <v>0</v>
      </c>
      <c r="D71" s="9">
        <f>IFERROR(GETPIVOTDATA("[Measures].[Suma de valor]",base!$A$3,"[IF].[departamento_jerarquia2]","[IF].[departamento_jerarquia2].&amp;["&amp;D$5&amp;"]","[IF].[grupo_analisis]","[IF].[grupo_analisis].&amp;["&amp;$B71&amp;"]","[IF].[mes]","[IF].[mes].&amp;["&amp;D$8&amp;"]","[IF].[ano]","[IF].[ano].&amp;["&amp;D$7&amp;"]","[IF].[informacion]","[IF].[informacion].&amp;["&amp;D$9&amp;"]"),0)-E71</f>
        <v>0</v>
      </c>
      <c r="E71" s="9">
        <f>IFERROR(GETPIVOTDATA("[Measures].[Suma de valor]",base!$AN$5,"[IF].[grupo_analisis]","[IF].[grupo_analisis].&amp;["&amp;$B71&amp;"]","[IF].[mes]","[IF].[mes].&amp;["&amp;E$8&amp;"]","[IF].[ano]","[IF].[ano].&amp;["&amp;E$7&amp;"]","[IF].[informacion]","[IF].[informacion].&amp;["&amp;E$9&amp;"]"),0)</f>
        <v>0</v>
      </c>
      <c r="F71" s="9">
        <f>IFERROR(GETPIVOTDATA("[Measures].[Suma de valor]",base!$A$3,"[IF].[departamento_jerarquia2]","[IF].[departamento_jerarquia2].&amp;["&amp;F$5&amp;"]","[IF].[grupo_analisis]","[IF].[grupo_analisis].&amp;["&amp;$B71&amp;"]","[IF].[mes]","[IF].[mes].&amp;["&amp;F$8&amp;"]","[IF].[ano]","[IF].[ano].&amp;["&amp;F$7&amp;"]","[IF].[informacion]","[IF].[informacion].&amp;["&amp;F$9&amp;"]"),0)</f>
        <v>0</v>
      </c>
      <c r="G71" s="9">
        <f>IFERROR(GETPIVOTDATA("[Measures].[Suma de valor]",base!$A$3,"[IF].[departamento_jerarquia2]","[IF].[departamento_jerarquia2].&amp;["&amp;G$5&amp;"]","[IF].[grupo_analisis]","[IF].[grupo_analisis].&amp;["&amp;$B71&amp;"]","[IF].[mes]","[IF].[mes].&amp;["&amp;G$8&amp;"]","[IF].[ano]","[IF].[ano].&amp;["&amp;G$7&amp;"]","[IF].[informacion]","[IF].[informacion].&amp;["&amp;G$9&amp;"]"),0)</f>
        <v>0</v>
      </c>
      <c r="H71" s="9">
        <f>IFERROR(GETPIVOTDATA("[Measures].[Suma de valor]",base!$A$3,"[IF].[departamento_jerarquia2]","[IF].[departamento_jerarquia2].&amp;["&amp;H$5&amp;"]","[IF].[grupo_analisis]","[IF].[grupo_analisis].&amp;["&amp;$B71&amp;"]","[IF].[mes]","[IF].[mes].&amp;["&amp;H$8&amp;"]","[IF].[ano]","[IF].[ano].&amp;["&amp;H$7&amp;"]","[IF].[informacion]","[IF].[informacion].&amp;["&amp;H$9&amp;"]"),0)</f>
        <v>0</v>
      </c>
      <c r="I71" s="9">
        <f>IFERROR(GETPIVOTDATA("[Measures].[Suma de valor]",base!$A$3,"[IF].[departamento_jerarquia2]","[IF].[departamento_jerarquia2].&amp;["&amp;I$5&amp;"]","[IF].[grupo_analisis]","[IF].[grupo_analisis].&amp;["&amp;$B71&amp;"]","[IF].[mes]","[IF].[mes].&amp;["&amp;I$8&amp;"]","[IF].[ano]","[IF].[ano].&amp;["&amp;I$7&amp;"]","[IF].[informacion]","[IF].[informacion].&amp;["&amp;I$9&amp;"]"),0)</f>
        <v>0</v>
      </c>
      <c r="J71" s="9"/>
      <c r="K71" s="9"/>
      <c r="L71" s="12">
        <f t="shared" si="11"/>
        <v>0</v>
      </c>
      <c r="N71" s="12">
        <f t="shared" si="13"/>
        <v>0</v>
      </c>
    </row>
    <row r="72" spans="1:14" x14ac:dyDescent="0.25">
      <c r="B72" t="s">
        <v>102</v>
      </c>
      <c r="C72" s="9">
        <f>IFERROR(GETPIVOTDATA("[Measures].[Suma de valor]",base!$A$3,"[IF].[departamento_jerarquia2]","[IF].[departamento_jerarquia2].&amp;["&amp;C$5&amp;"]","[IF].[grupo_analisis]","[IF].[grupo_analisis].&amp;["&amp;$B72&amp;"]","[IF].[mes]","[IF].[mes].&amp;["&amp;C$8&amp;"]","[IF].[ano]","[IF].[ano].&amp;["&amp;C$7&amp;"]","[IF].[informacion]","[IF].[informacion].&amp;["&amp;C$9&amp;"]"),0)</f>
        <v>0</v>
      </c>
      <c r="D72" s="9">
        <f>IFERROR(GETPIVOTDATA("[Measures].[Suma de valor]",base!$A$3,"[IF].[departamento_jerarquia2]","[IF].[departamento_jerarquia2].&amp;["&amp;D$5&amp;"]","[IF].[grupo_analisis]","[IF].[grupo_analisis].&amp;["&amp;$B72&amp;"]","[IF].[mes]","[IF].[mes].&amp;["&amp;D$8&amp;"]","[IF].[ano]","[IF].[ano].&amp;["&amp;D$7&amp;"]","[IF].[informacion]","[IF].[informacion].&amp;["&amp;D$9&amp;"]"),0)-E72</f>
        <v>0</v>
      </c>
      <c r="E72" s="9">
        <f>IFERROR(GETPIVOTDATA("[Measures].[Suma de valor]",base!$AN$5,"[IF].[grupo_analisis]","[IF].[grupo_analisis].&amp;["&amp;$B72&amp;"]","[IF].[mes]","[IF].[mes].&amp;["&amp;E$8&amp;"]","[IF].[ano]","[IF].[ano].&amp;["&amp;E$7&amp;"]","[IF].[informacion]","[IF].[informacion].&amp;["&amp;E$9&amp;"]"),0)</f>
        <v>0</v>
      </c>
      <c r="F72" s="9">
        <f>IFERROR(GETPIVOTDATA("[Measures].[Suma de valor]",base!$A$3,"[IF].[departamento_jerarquia2]","[IF].[departamento_jerarquia2].&amp;["&amp;F$5&amp;"]","[IF].[grupo_analisis]","[IF].[grupo_analisis].&amp;["&amp;$B72&amp;"]","[IF].[mes]","[IF].[mes].&amp;["&amp;F$8&amp;"]","[IF].[ano]","[IF].[ano].&amp;["&amp;F$7&amp;"]","[IF].[informacion]","[IF].[informacion].&amp;["&amp;F$9&amp;"]"),0)</f>
        <v>0</v>
      </c>
      <c r="G72" s="9">
        <f>IFERROR(GETPIVOTDATA("[Measures].[Suma de valor]",base!$A$3,"[IF].[departamento_jerarquia2]","[IF].[departamento_jerarquia2].&amp;["&amp;G$5&amp;"]","[IF].[grupo_analisis]","[IF].[grupo_analisis].&amp;["&amp;$B72&amp;"]","[IF].[mes]","[IF].[mes].&amp;["&amp;G$8&amp;"]","[IF].[ano]","[IF].[ano].&amp;["&amp;G$7&amp;"]","[IF].[informacion]","[IF].[informacion].&amp;["&amp;G$9&amp;"]"),0)</f>
        <v>0</v>
      </c>
      <c r="H72" s="9">
        <f>IFERROR(GETPIVOTDATA("[Measures].[Suma de valor]",base!$A$3,"[IF].[departamento_jerarquia2]","[IF].[departamento_jerarquia2].&amp;["&amp;H$5&amp;"]","[IF].[grupo_analisis]","[IF].[grupo_analisis].&amp;["&amp;$B72&amp;"]","[IF].[mes]","[IF].[mes].&amp;["&amp;H$8&amp;"]","[IF].[ano]","[IF].[ano].&amp;["&amp;H$7&amp;"]","[IF].[informacion]","[IF].[informacion].&amp;["&amp;H$9&amp;"]"),0)</f>
        <v>0</v>
      </c>
      <c r="I72" s="9">
        <f>IFERROR(GETPIVOTDATA("[Measures].[Suma de valor]",base!$A$3,"[IF].[departamento_jerarquia2]","[IF].[departamento_jerarquia2].&amp;["&amp;I$5&amp;"]","[IF].[grupo_analisis]","[IF].[grupo_analisis].&amp;["&amp;$B72&amp;"]","[IF].[mes]","[IF].[mes].&amp;["&amp;I$8&amp;"]","[IF].[ano]","[IF].[ano].&amp;["&amp;I$7&amp;"]","[IF].[informacion]","[IF].[informacion].&amp;["&amp;I$9&amp;"]"),0)</f>
        <v>0</v>
      </c>
      <c r="J72" s="9"/>
      <c r="K72" s="9"/>
      <c r="L72" s="12">
        <f t="shared" si="11"/>
        <v>0</v>
      </c>
      <c r="N72" s="12">
        <f t="shared" si="13"/>
        <v>0</v>
      </c>
    </row>
    <row r="73" spans="1:14" x14ac:dyDescent="0.25">
      <c r="B73" s="14" t="s">
        <v>207</v>
      </c>
      <c r="C73" s="15">
        <f t="shared" ref="C73:L73" si="14">SUM(C41:C47,C67:C72)</f>
        <v>0</v>
      </c>
      <c r="D73" s="15">
        <f t="shared" si="14"/>
        <v>214.44335678053693</v>
      </c>
      <c r="E73" s="15">
        <f t="shared" si="14"/>
        <v>1034.7325887782631</v>
      </c>
      <c r="F73" s="15">
        <f t="shared" si="14"/>
        <v>0.45024400000000003</v>
      </c>
      <c r="G73" s="15">
        <f t="shared" si="14"/>
        <v>0</v>
      </c>
      <c r="H73" s="15">
        <f t="shared" si="14"/>
        <v>0</v>
      </c>
      <c r="I73" s="15">
        <f t="shared" si="14"/>
        <v>1172.962847</v>
      </c>
      <c r="J73" s="15"/>
      <c r="K73" s="15"/>
      <c r="L73" s="16">
        <f t="shared" si="14"/>
        <v>2422.5890365587998</v>
      </c>
      <c r="N73" s="16">
        <f>SUM(N41:N47,N67:N72)</f>
        <v>2362.3536365587997</v>
      </c>
    </row>
    <row r="75" spans="1:14" x14ac:dyDescent="0.25">
      <c r="B75" s="14" t="s">
        <v>208</v>
      </c>
      <c r="C75" s="15">
        <f t="shared" ref="C75:L75" si="15">C39-C73</f>
        <v>0</v>
      </c>
      <c r="D75" s="15">
        <f t="shared" si="15"/>
        <v>-62.369506780536938</v>
      </c>
      <c r="E75" s="15">
        <f t="shared" si="15"/>
        <v>98.603971221736856</v>
      </c>
      <c r="F75" s="15">
        <f t="shared" si="15"/>
        <v>5.3597560000000009</v>
      </c>
      <c r="G75" s="15">
        <f t="shared" si="15"/>
        <v>0</v>
      </c>
      <c r="H75" s="15">
        <f t="shared" si="15"/>
        <v>0</v>
      </c>
      <c r="I75" s="15">
        <f t="shared" si="15"/>
        <v>163.37788119999982</v>
      </c>
      <c r="J75" s="15"/>
      <c r="K75" s="15"/>
      <c r="L75" s="16">
        <f t="shared" si="15"/>
        <v>204.97210164119997</v>
      </c>
      <c r="N75" s="16">
        <f>N39-N73</f>
        <v>204.97210164119997</v>
      </c>
    </row>
    <row r="77" spans="1:14" x14ac:dyDescent="0.25">
      <c r="B77" t="s">
        <v>112</v>
      </c>
      <c r="C77" s="9">
        <f>IFERROR(GETPIVOTDATA("[Measures].[Suma de valor]",base!$A$3,"[IF].[departamento_jerarquia2]","[IF].[departamento_jerarquia2].&amp;["&amp;C$5&amp;"]","[IF].[grupo_analisis]","[IF].[grupo_analisis].&amp;["&amp;$B77&amp;"]","[IF].[mes]","[IF].[mes].&amp;["&amp;C$8&amp;"]","[IF].[ano]","[IF].[ano].&amp;["&amp;C$7&amp;"]","[IF].[informacion]","[IF].[informacion].&amp;["&amp;C$9&amp;"]"),0)</f>
        <v>0</v>
      </c>
      <c r="D77" s="9">
        <f>IFERROR(GETPIVOTDATA("[Measures].[Suma de valor]",base!$A$3,"[IF].[departamento_jerarquia2]","[IF].[departamento_jerarquia2].&amp;["&amp;D$5&amp;"]","[IF].[grupo_analisis]","[IF].[grupo_analisis].&amp;["&amp;$B77&amp;"]","[IF].[mes]","[IF].[mes].&amp;["&amp;D$8&amp;"]","[IF].[ano]","[IF].[ano].&amp;["&amp;D$7&amp;"]","[IF].[informacion]","[IF].[informacion].&amp;["&amp;D$9&amp;"]"),0)-E77</f>
        <v>1.089769</v>
      </c>
      <c r="E77" s="9">
        <f>IFERROR(GETPIVOTDATA("[Measures].[Suma de valor]",base!$AN$5,"[IF].[grupo_analisis]","[IF].[grupo_analisis].&amp;["&amp;$B77&amp;"]","[IF].[mes]","[IF].[mes].&amp;["&amp;E$8&amp;"]","[IF].[ano]","[IF].[ano].&amp;["&amp;E$7&amp;"]","[IF].[informacion]","[IF].[informacion].&amp;["&amp;E$9&amp;"]"),0)</f>
        <v>2.3204650300000003</v>
      </c>
      <c r="F77" s="9">
        <f>IFERROR(GETPIVOTDATA("[Measures].[Suma de valor]",base!$A$3,"[IF].[departamento_jerarquia2]","[IF].[departamento_jerarquia2].&amp;["&amp;F$5&amp;"]","[IF].[grupo_analisis]","[IF].[grupo_analisis].&amp;["&amp;$B77&amp;"]","[IF].[mes]","[IF].[mes].&amp;["&amp;F$8&amp;"]","[IF].[ano]","[IF].[ano].&amp;["&amp;F$7&amp;"]","[IF].[informacion]","[IF].[informacion].&amp;["&amp;F$9&amp;"]"),0)</f>
        <v>0</v>
      </c>
      <c r="G77" s="9">
        <f>IFERROR(GETPIVOTDATA("[Measures].[Suma de valor]",base!$A$3,"[IF].[departamento_jerarquia2]","[IF].[departamento_jerarquia2].&amp;["&amp;G$5&amp;"]","[IF].[grupo_analisis]","[IF].[grupo_analisis].&amp;["&amp;$B77&amp;"]","[IF].[mes]","[IF].[mes].&amp;["&amp;G$8&amp;"]","[IF].[ano]","[IF].[ano].&amp;["&amp;G$7&amp;"]","[IF].[informacion]","[IF].[informacion].&amp;["&amp;G$9&amp;"]"),0)</f>
        <v>0</v>
      </c>
      <c r="H77" s="9">
        <f>IFERROR(GETPIVOTDATA("[Measures].[Suma de valor]",base!$A$3,"[IF].[departamento_jerarquia2]","[IF].[departamento_jerarquia2].&amp;["&amp;H$5&amp;"]","[IF].[grupo_analisis]","[IF].[grupo_analisis].&amp;["&amp;$B77&amp;"]","[IF].[mes]","[IF].[mes].&amp;["&amp;H$8&amp;"]","[IF].[ano]","[IF].[ano].&amp;["&amp;H$7&amp;"]","[IF].[informacion]","[IF].[informacion].&amp;["&amp;H$9&amp;"]"),0)</f>
        <v>0</v>
      </c>
      <c r="I77" s="9">
        <f>IFERROR(GETPIVOTDATA("[Measures].[Suma de valor]",base!$A$3,"[IF].[departamento_jerarquia2]","[IF].[departamento_jerarquia2].&amp;["&amp;I$5&amp;"]","[IF].[grupo_analisis]","[IF].[grupo_analisis].&amp;["&amp;$B77&amp;"]","[IF].[mes]","[IF].[mes].&amp;["&amp;I$8&amp;"]","[IF].[ano]","[IF].[ano].&amp;["&amp;I$7&amp;"]","[IF].[informacion]","[IF].[informacion].&amp;["&amp;I$9&amp;"]"),0)</f>
        <v>0</v>
      </c>
      <c r="J77" s="9"/>
      <c r="K77" s="9"/>
      <c r="L77" s="12">
        <f>SUM(C77:K77)</f>
        <v>3.4102340300000002</v>
      </c>
      <c r="N77" s="12">
        <f>L77</f>
        <v>3.4102340300000002</v>
      </c>
    </row>
    <row r="78" spans="1:14" x14ac:dyDescent="0.25">
      <c r="B78" t="s">
        <v>114</v>
      </c>
      <c r="C78" s="9">
        <f>IFERROR(GETPIVOTDATA("[Measures].[Suma de valor]",base!$A$3,"[IF].[departamento_jerarquia2]","[IF].[departamento_jerarquia2].&amp;["&amp;C$5&amp;"]","[IF].[grupo_analisis]","[IF].[grupo_analisis].&amp;["&amp;$B78&amp;"]","[IF].[mes]","[IF].[mes].&amp;["&amp;C$8&amp;"]","[IF].[ano]","[IF].[ano].&amp;["&amp;C$7&amp;"]","[IF].[informacion]","[IF].[informacion].&amp;["&amp;C$9&amp;"]"),0)</f>
        <v>0</v>
      </c>
      <c r="D78" s="9">
        <f>IFERROR(GETPIVOTDATA("[Measures].[Suma de valor]",base!$A$3,"[IF].[departamento_jerarquia2]","[IF].[departamento_jerarquia2].&amp;["&amp;D$5&amp;"]","[IF].[grupo_analisis]","[IF].[grupo_analisis].&amp;["&amp;$B78&amp;"]","[IF].[mes]","[IF].[mes].&amp;["&amp;D$8&amp;"]","[IF].[ano]","[IF].[ano].&amp;["&amp;D$7&amp;"]","[IF].[informacion]","[IF].[informacion].&amp;["&amp;D$9&amp;"]"),0)-E78</f>
        <v>0</v>
      </c>
      <c r="E78" s="9">
        <f>IFERROR(GETPIVOTDATA("[Measures].[Suma de valor]",base!$AN$5,"[IF].[grupo_analisis]","[IF].[grupo_analisis].&amp;["&amp;$B78&amp;"]","[IF].[mes]","[IF].[mes].&amp;["&amp;E$8&amp;"]","[IF].[ano]","[IF].[ano].&amp;["&amp;E$7&amp;"]","[IF].[informacion]","[IF].[informacion].&amp;["&amp;E$9&amp;"]"),0)</f>
        <v>7.6790609999999999</v>
      </c>
      <c r="F78" s="9">
        <f>IFERROR(GETPIVOTDATA("[Measures].[Suma de valor]",base!$A$3,"[IF].[departamento_jerarquia2]","[IF].[departamento_jerarquia2].&amp;["&amp;F$5&amp;"]","[IF].[grupo_analisis]","[IF].[grupo_analisis].&amp;["&amp;$B78&amp;"]","[IF].[mes]","[IF].[mes].&amp;["&amp;F$8&amp;"]","[IF].[ano]","[IF].[ano].&amp;["&amp;F$7&amp;"]","[IF].[informacion]","[IF].[informacion].&amp;["&amp;F$9&amp;"]"),0)</f>
        <v>2.1</v>
      </c>
      <c r="G78" s="9">
        <f>IFERROR(GETPIVOTDATA("[Measures].[Suma de valor]",base!$A$3,"[IF].[departamento_jerarquia2]","[IF].[departamento_jerarquia2].&amp;["&amp;G$5&amp;"]","[IF].[grupo_analisis]","[IF].[grupo_analisis].&amp;["&amp;$B78&amp;"]","[IF].[mes]","[IF].[mes].&amp;["&amp;G$8&amp;"]","[IF].[ano]","[IF].[ano].&amp;["&amp;G$7&amp;"]","[IF].[informacion]","[IF].[informacion].&amp;["&amp;G$9&amp;"]"),0)</f>
        <v>0</v>
      </c>
      <c r="H78" s="9">
        <f>IFERROR(GETPIVOTDATA("[Measures].[Suma de valor]",base!$A$3,"[IF].[departamento_jerarquia2]","[IF].[departamento_jerarquia2].&amp;["&amp;H$5&amp;"]","[IF].[grupo_analisis]","[IF].[grupo_analisis].&amp;["&amp;$B78&amp;"]","[IF].[mes]","[IF].[mes].&amp;["&amp;H$8&amp;"]","[IF].[ano]","[IF].[ano].&amp;["&amp;H$7&amp;"]","[IF].[informacion]","[IF].[informacion].&amp;["&amp;H$9&amp;"]"),0)</f>
        <v>0</v>
      </c>
      <c r="I78" s="9">
        <f>IFERROR(GETPIVOTDATA("[Measures].[Suma de valor]",base!$A$3,"[IF].[departamento_jerarquia2]","[IF].[departamento_jerarquia2].&amp;["&amp;I$5&amp;"]","[IF].[grupo_analisis]","[IF].[grupo_analisis].&amp;["&amp;$B78&amp;"]","[IF].[mes]","[IF].[mes].&amp;["&amp;I$8&amp;"]","[IF].[ano]","[IF].[ano].&amp;["&amp;I$7&amp;"]","[IF].[informacion]","[IF].[informacion].&amp;["&amp;I$9&amp;"]"),0)</f>
        <v>12.212389999999999</v>
      </c>
      <c r="J78" s="9"/>
      <c r="K78" s="9"/>
      <c r="L78" s="12">
        <f>SUM(C78:K78)</f>
        <v>21.991450999999998</v>
      </c>
      <c r="N78" s="12">
        <f>L78</f>
        <v>21.991450999999998</v>
      </c>
    </row>
    <row r="79" spans="1:14" x14ac:dyDescent="0.25">
      <c r="B79" t="s">
        <v>104</v>
      </c>
      <c r="C79" s="9">
        <f>IFERROR(GETPIVOTDATA("[Measures].[Suma de valor]",base!$A$3,"[IF].[departamento_jerarquia2]","[IF].[departamento_jerarquia2].&amp;["&amp;C$5&amp;"]","[IF].[grupo_analisis]","[IF].[grupo_analisis].&amp;["&amp;$B79&amp;"]","[IF].[mes]","[IF].[mes].&amp;["&amp;C$8&amp;"]","[IF].[ano]","[IF].[ano].&amp;["&amp;C$7&amp;"]","[IF].[informacion]","[IF].[informacion].&amp;["&amp;C$9&amp;"]"),0)</f>
        <v>0</v>
      </c>
      <c r="D79" s="9">
        <f>IFERROR(GETPIVOTDATA("[Measures].[Suma de valor]",base!$A$3,"[IF].[departamento_jerarquia2]","[IF].[departamento_jerarquia2].&amp;["&amp;D$5&amp;"]","[IF].[grupo_analisis]","[IF].[grupo_analisis].&amp;["&amp;$B79&amp;"]","[IF].[mes]","[IF].[mes].&amp;["&amp;D$8&amp;"]","[IF].[ano]","[IF].[ano].&amp;["&amp;D$7&amp;"]","[IF].[informacion]","[IF].[informacion].&amp;["&amp;D$9&amp;"]"),0)-E79</f>
        <v>0</v>
      </c>
      <c r="E79" s="9">
        <f>IFERROR(GETPIVOTDATA("[Measures].[Suma de valor]",base!$AN$5,"[IF].[grupo_analisis]","[IF].[grupo_analisis].&amp;["&amp;$B79&amp;"]","[IF].[mes]","[IF].[mes].&amp;["&amp;E$8&amp;"]","[IF].[ano]","[IF].[ano].&amp;["&amp;E$7&amp;"]","[IF].[informacion]","[IF].[informacion].&amp;["&amp;E$9&amp;"]"),0)</f>
        <v>0</v>
      </c>
      <c r="F79" s="9">
        <f>IFERROR(GETPIVOTDATA("[Measures].[Suma de valor]",base!$A$3,"[IF].[departamento_jerarquia2]","[IF].[departamento_jerarquia2].&amp;["&amp;F$5&amp;"]","[IF].[grupo_analisis]","[IF].[grupo_analisis].&amp;["&amp;$B79&amp;"]","[IF].[mes]","[IF].[mes].&amp;["&amp;F$8&amp;"]","[IF].[ano]","[IF].[ano].&amp;["&amp;F$7&amp;"]","[IF].[informacion]","[IF].[informacion].&amp;["&amp;F$9&amp;"]"),0)</f>
        <v>0</v>
      </c>
      <c r="G79" s="9">
        <f>IFERROR(GETPIVOTDATA("[Measures].[Suma de valor]",base!$A$3,"[IF].[departamento_jerarquia2]","[IF].[departamento_jerarquia2].&amp;["&amp;G$5&amp;"]","[IF].[grupo_analisis]","[IF].[grupo_analisis].&amp;["&amp;$B79&amp;"]","[IF].[mes]","[IF].[mes].&amp;["&amp;G$8&amp;"]","[IF].[ano]","[IF].[ano].&amp;["&amp;G$7&amp;"]","[IF].[informacion]","[IF].[informacion].&amp;["&amp;G$9&amp;"]"),0)</f>
        <v>0</v>
      </c>
      <c r="H79" s="9">
        <f>IFERROR(GETPIVOTDATA("[Measures].[Suma de valor]",base!$A$3,"[IF].[departamento_jerarquia2]","[IF].[departamento_jerarquia2].&amp;["&amp;H$5&amp;"]","[IF].[grupo_analisis]","[IF].[grupo_analisis].&amp;["&amp;$B79&amp;"]","[IF].[mes]","[IF].[mes].&amp;["&amp;H$8&amp;"]","[IF].[ano]","[IF].[ano].&amp;["&amp;H$7&amp;"]","[IF].[informacion]","[IF].[informacion].&amp;["&amp;H$9&amp;"]"),0)</f>
        <v>0</v>
      </c>
      <c r="I79" s="9">
        <f>IFERROR(GETPIVOTDATA("[Measures].[Suma de valor]",base!$A$3,"[IF].[departamento_jerarquia2]","[IF].[departamento_jerarquia2].&amp;["&amp;I$5&amp;"]","[IF].[grupo_analisis]","[IF].[grupo_analisis].&amp;["&amp;$B79&amp;"]","[IF].[mes]","[IF].[mes].&amp;["&amp;I$8&amp;"]","[IF].[ano]","[IF].[ano].&amp;["&amp;I$7&amp;"]","[IF].[informacion]","[IF].[informacion].&amp;["&amp;I$9&amp;"]"),0)</f>
        <v>18.399000000000001</v>
      </c>
      <c r="J79" s="9"/>
      <c r="K79" s="9"/>
      <c r="L79" s="12">
        <f>SUM(C79:K79)</f>
        <v>18.399000000000001</v>
      </c>
      <c r="N79" s="12">
        <f>L79</f>
        <v>18.399000000000001</v>
      </c>
    </row>
    <row r="80" spans="1:14" x14ac:dyDescent="0.25">
      <c r="B80" s="14" t="s">
        <v>209</v>
      </c>
      <c r="C80" s="15">
        <f t="shared" ref="C80:L80" si="16">SUM(C77:C79)</f>
        <v>0</v>
      </c>
      <c r="D80" s="15">
        <f t="shared" si="16"/>
        <v>1.089769</v>
      </c>
      <c r="E80" s="15">
        <f t="shared" si="16"/>
        <v>9.9995260300000002</v>
      </c>
      <c r="F80" s="15">
        <f t="shared" si="16"/>
        <v>2.1</v>
      </c>
      <c r="G80" s="15">
        <f t="shared" si="16"/>
        <v>0</v>
      </c>
      <c r="H80" s="15">
        <f t="shared" si="16"/>
        <v>0</v>
      </c>
      <c r="I80" s="15">
        <f t="shared" si="16"/>
        <v>30.61139</v>
      </c>
      <c r="J80" s="15"/>
      <c r="K80" s="15"/>
      <c r="L80" s="16">
        <f t="shared" si="16"/>
        <v>43.800685029999997</v>
      </c>
      <c r="N80" s="16">
        <f>SUM(N77:N79)</f>
        <v>43.800685029999997</v>
      </c>
    </row>
    <row r="82" spans="2:14" x14ac:dyDescent="0.25">
      <c r="B82" t="s">
        <v>107</v>
      </c>
      <c r="C82" s="9">
        <f>IFERROR(GETPIVOTDATA("[Measures].[Suma de valor]",base!$A$3,"[IF].[departamento_jerarquia2]","[IF].[departamento_jerarquia2].&amp;["&amp;C$5&amp;"]","[IF].[grupo_analisis]","[IF].[grupo_analisis].&amp;["&amp;$B82&amp;"]","[IF].[mes]","[IF].[mes].&amp;["&amp;C$8&amp;"]","[IF].[ano]","[IF].[ano].&amp;["&amp;C$7&amp;"]","[IF].[informacion]","[IF].[informacion].&amp;["&amp;C$9&amp;"]"),0)</f>
        <v>0</v>
      </c>
      <c r="D82" s="9">
        <f>IFERROR(GETPIVOTDATA("[Measures].[Suma de valor]",base!$A$3,"[IF].[departamento_jerarquia2]","[IF].[departamento_jerarquia2].&amp;["&amp;D$5&amp;"]","[IF].[grupo_analisis]","[IF].[grupo_analisis].&amp;["&amp;$B82&amp;"]","[IF].[mes]","[IF].[mes].&amp;["&amp;D$8&amp;"]","[IF].[ano]","[IF].[ano].&amp;["&amp;D$7&amp;"]","[IF].[informacion]","[IF].[informacion].&amp;["&amp;D$9&amp;"]"),0)-E82</f>
        <v>0</v>
      </c>
      <c r="E82" s="9">
        <f>IFERROR(GETPIVOTDATA("[Measures].[Suma de valor]",base!$AN$5,"[IF].[grupo_analisis]","[IF].[grupo_analisis].&amp;["&amp;$B82&amp;"]","[IF].[mes]","[IF].[mes].&amp;["&amp;E$8&amp;"]","[IF].[ano]","[IF].[ano].&amp;["&amp;E$7&amp;"]","[IF].[informacion]","[IF].[informacion].&amp;["&amp;E$9&amp;"]"),0)</f>
        <v>8.9008130000000005E-2</v>
      </c>
      <c r="F82" s="9">
        <f>IFERROR(GETPIVOTDATA("[Measures].[Suma de valor]",base!$A$3,"[IF].[departamento_jerarquia2]","[IF].[departamento_jerarquia2].&amp;["&amp;F$5&amp;"]","[IF].[grupo_analisis]","[IF].[grupo_analisis].&amp;["&amp;$B82&amp;"]","[IF].[mes]","[IF].[mes].&amp;["&amp;F$8&amp;"]","[IF].[ano]","[IF].[ano].&amp;["&amp;F$7&amp;"]","[IF].[informacion]","[IF].[informacion].&amp;["&amp;F$9&amp;"]"),0)</f>
        <v>0</v>
      </c>
      <c r="G82" s="9">
        <f>IFERROR(GETPIVOTDATA("[Measures].[Suma de valor]",base!$A$3,"[IF].[departamento_jerarquia2]","[IF].[departamento_jerarquia2].&amp;["&amp;G$5&amp;"]","[IF].[grupo_analisis]","[IF].[grupo_analisis].&amp;["&amp;$B82&amp;"]","[IF].[mes]","[IF].[mes].&amp;["&amp;G$8&amp;"]","[IF].[ano]","[IF].[ano].&amp;["&amp;G$7&amp;"]","[IF].[informacion]","[IF].[informacion].&amp;["&amp;G$9&amp;"]"),0)</f>
        <v>0</v>
      </c>
      <c r="H82" s="9">
        <f>IFERROR(GETPIVOTDATA("[Measures].[Suma de valor]",base!$A$3,"[IF].[departamento_jerarquia2]","[IF].[departamento_jerarquia2].&amp;["&amp;H$5&amp;"]","[IF].[grupo_analisis]","[IF].[grupo_analisis].&amp;["&amp;$B82&amp;"]","[IF].[mes]","[IF].[mes].&amp;["&amp;H$8&amp;"]","[IF].[ano]","[IF].[ano].&amp;["&amp;H$7&amp;"]","[IF].[informacion]","[IF].[informacion].&amp;["&amp;H$9&amp;"]"),0)</f>
        <v>0</v>
      </c>
      <c r="I82" s="9">
        <f>IFERROR(GETPIVOTDATA("[Measures].[Suma de valor]",base!$A$3,"[IF].[departamento_jerarquia2]","[IF].[departamento_jerarquia2].&amp;["&amp;I$5&amp;"]","[IF].[grupo_analisis]","[IF].[grupo_analisis].&amp;["&amp;$B82&amp;"]","[IF].[mes]","[IF].[mes].&amp;["&amp;I$8&amp;"]","[IF].[ano]","[IF].[ano].&amp;["&amp;I$7&amp;"]","[IF].[informacion]","[IF].[informacion].&amp;["&amp;I$9&amp;"]"),0)</f>
        <v>2.1527065399999996</v>
      </c>
      <c r="J82" s="9"/>
      <c r="K82" s="9"/>
      <c r="L82" s="12">
        <f>SUM(C82:K82)</f>
        <v>2.2417146699999995</v>
      </c>
      <c r="N82" s="12">
        <f>L82</f>
        <v>2.2417146699999995</v>
      </c>
    </row>
    <row r="83" spans="2:14" x14ac:dyDescent="0.25">
      <c r="B83" t="s">
        <v>110</v>
      </c>
      <c r="C83" s="9">
        <f>IFERROR(GETPIVOTDATA("[Measures].[Suma de valor]",base!$A$3,"[IF].[departamento_jerarquia2]","[IF].[departamento_jerarquia2].&amp;["&amp;C$5&amp;"]","[IF].[grupo_analisis]","[IF].[grupo_analisis].&amp;["&amp;$B83&amp;"]","[IF].[mes]","[IF].[mes].&amp;["&amp;C$8&amp;"]","[IF].[ano]","[IF].[ano].&amp;["&amp;C$7&amp;"]","[IF].[informacion]","[IF].[informacion].&amp;["&amp;C$9&amp;"]"),0)</f>
        <v>0</v>
      </c>
      <c r="D83" s="9">
        <f>IFERROR(GETPIVOTDATA("[Measures].[Suma de valor]",base!$A$3,"[IF].[departamento_jerarquia2]","[IF].[departamento_jerarquia2].&amp;["&amp;D$5&amp;"]","[IF].[grupo_analisis]","[IF].[grupo_analisis].&amp;["&amp;$B83&amp;"]","[IF].[mes]","[IF].[mes].&amp;["&amp;D$8&amp;"]","[IF].[ano]","[IF].[ano].&amp;["&amp;D$7&amp;"]","[IF].[informacion]","[IF].[informacion].&amp;["&amp;D$9&amp;"]"),0)-E83</f>
        <v>0</v>
      </c>
      <c r="E83" s="9">
        <f>IFERROR(GETPIVOTDATA("[Measures].[Suma de valor]",base!$AN$5,"[IF].[grupo_analisis]","[IF].[grupo_analisis].&amp;["&amp;$B83&amp;"]","[IF].[mes]","[IF].[mes].&amp;["&amp;E$8&amp;"]","[IF].[ano]","[IF].[ano].&amp;["&amp;E$7&amp;"]","[IF].[informacion]","[IF].[informacion].&amp;["&amp;E$9&amp;"]"),0)</f>
        <v>0</v>
      </c>
      <c r="F83" s="9">
        <f>IFERROR(GETPIVOTDATA("[Measures].[Suma de valor]",base!$A$3,"[IF].[departamento_jerarquia2]","[IF].[departamento_jerarquia2].&amp;["&amp;F$5&amp;"]","[IF].[grupo_analisis]","[IF].[grupo_analisis].&amp;["&amp;$B83&amp;"]","[IF].[mes]","[IF].[mes].&amp;["&amp;F$8&amp;"]","[IF].[ano]","[IF].[ano].&amp;["&amp;F$7&amp;"]","[IF].[informacion]","[IF].[informacion].&amp;["&amp;F$9&amp;"]"),0)</f>
        <v>0</v>
      </c>
      <c r="G83" s="9">
        <f>IFERROR(GETPIVOTDATA("[Measures].[Suma de valor]",base!$A$3,"[IF].[departamento_jerarquia2]","[IF].[departamento_jerarquia2].&amp;["&amp;G$5&amp;"]","[IF].[grupo_analisis]","[IF].[grupo_analisis].&amp;["&amp;$B83&amp;"]","[IF].[mes]","[IF].[mes].&amp;["&amp;G$8&amp;"]","[IF].[ano]","[IF].[ano].&amp;["&amp;G$7&amp;"]","[IF].[informacion]","[IF].[informacion].&amp;["&amp;G$9&amp;"]"),0)</f>
        <v>0</v>
      </c>
      <c r="H83" s="9">
        <f>IFERROR(GETPIVOTDATA("[Measures].[Suma de valor]",base!$A$3,"[IF].[departamento_jerarquia2]","[IF].[departamento_jerarquia2].&amp;["&amp;H$5&amp;"]","[IF].[grupo_analisis]","[IF].[grupo_analisis].&amp;["&amp;$B83&amp;"]","[IF].[mes]","[IF].[mes].&amp;["&amp;H$8&amp;"]","[IF].[ano]","[IF].[ano].&amp;["&amp;H$7&amp;"]","[IF].[informacion]","[IF].[informacion].&amp;["&amp;H$9&amp;"]"),0)</f>
        <v>0</v>
      </c>
      <c r="I83" s="9">
        <f>IFERROR(GETPIVOTDATA("[Measures].[Suma de valor]",base!$A$3,"[IF].[departamento_jerarquia2]","[IF].[departamento_jerarquia2].&amp;["&amp;I$5&amp;"]","[IF].[grupo_analisis]","[IF].[grupo_analisis].&amp;["&amp;$B83&amp;"]","[IF].[mes]","[IF].[mes].&amp;["&amp;I$8&amp;"]","[IF].[ano]","[IF].[ano].&amp;["&amp;I$7&amp;"]","[IF].[informacion]","[IF].[informacion].&amp;["&amp;I$9&amp;"]"),0)</f>
        <v>3.5767E-2</v>
      </c>
      <c r="J83" s="9"/>
      <c r="K83" s="9"/>
      <c r="L83" s="12">
        <f>SUM(C83:K83)</f>
        <v>3.5767E-2</v>
      </c>
      <c r="N83" s="12">
        <f>L83</f>
        <v>3.5767E-2</v>
      </c>
    </row>
    <row r="84" spans="2:14" x14ac:dyDescent="0.25">
      <c r="B84" t="s">
        <v>166</v>
      </c>
      <c r="C84" s="9">
        <f>IFERROR(GETPIVOTDATA("[Measures].[Suma de valor]",base!$A$3,"[IF].[departamento_jerarquia2]","[IF].[departamento_jerarquia2].&amp;["&amp;C$5&amp;"]","[IF].[grupo_analisis]","[IF].[grupo_analisis].&amp;["&amp;$B84&amp;"]","[IF].[mes]","[IF].[mes].&amp;["&amp;C$8&amp;"]","[IF].[ano]","[IF].[ano].&amp;["&amp;C$7&amp;"]","[IF].[informacion]","[IF].[informacion].&amp;["&amp;C$9&amp;"]"),0)</f>
        <v>0</v>
      </c>
      <c r="D84" s="9">
        <f>IFERROR(GETPIVOTDATA("[Measures].[Suma de valor]",base!$A$3,"[IF].[departamento_jerarquia2]","[IF].[departamento_jerarquia2].&amp;["&amp;D$5&amp;"]","[IF].[grupo_analisis]","[IF].[grupo_analisis].&amp;["&amp;$B84&amp;"]","[IF].[mes]","[IF].[mes].&amp;["&amp;D$8&amp;"]","[IF].[ano]","[IF].[ano].&amp;["&amp;D$7&amp;"]","[IF].[informacion]","[IF].[informacion].&amp;["&amp;D$9&amp;"]"),0)-E84</f>
        <v>0</v>
      </c>
      <c r="E84" s="9">
        <f>IFERROR(GETPIVOTDATA("[Measures].[Suma de valor]",base!$AN$5,"[IF].[grupo_analisis]","[IF].[grupo_analisis].&amp;["&amp;$B84&amp;"]","[IF].[mes]","[IF].[mes].&amp;["&amp;E$8&amp;"]","[IF].[ano]","[IF].[ano].&amp;["&amp;E$7&amp;"]","[IF].[informacion]","[IF].[informacion].&amp;["&amp;E$9&amp;"]"),0)</f>
        <v>0</v>
      </c>
      <c r="F84" s="9">
        <f>IFERROR(GETPIVOTDATA("[Measures].[Suma de valor]",base!$A$3,"[IF].[departamento_jerarquia2]","[IF].[departamento_jerarquia2].&amp;["&amp;F$5&amp;"]","[IF].[grupo_analisis]","[IF].[grupo_analisis].&amp;["&amp;$B84&amp;"]","[IF].[mes]","[IF].[mes].&amp;["&amp;F$8&amp;"]","[IF].[ano]","[IF].[ano].&amp;["&amp;F$7&amp;"]","[IF].[informacion]","[IF].[informacion].&amp;["&amp;F$9&amp;"]"),0)</f>
        <v>0</v>
      </c>
      <c r="G84" s="9">
        <f>IFERROR(GETPIVOTDATA("[Measures].[Suma de valor]",base!$A$3,"[IF].[departamento_jerarquia2]","[IF].[departamento_jerarquia2].&amp;["&amp;G$5&amp;"]","[IF].[grupo_analisis]","[IF].[grupo_analisis].&amp;["&amp;$B84&amp;"]","[IF].[mes]","[IF].[mes].&amp;["&amp;G$8&amp;"]","[IF].[ano]","[IF].[ano].&amp;["&amp;G$7&amp;"]","[IF].[informacion]","[IF].[informacion].&amp;["&amp;G$9&amp;"]"),0)</f>
        <v>0</v>
      </c>
      <c r="H84" s="9">
        <f>IFERROR(GETPIVOTDATA("[Measures].[Suma de valor]",base!$A$3,"[IF].[departamento_jerarquia2]","[IF].[departamento_jerarquia2].&amp;["&amp;H$5&amp;"]","[IF].[grupo_analisis]","[IF].[grupo_analisis].&amp;["&amp;$B84&amp;"]","[IF].[mes]","[IF].[mes].&amp;["&amp;H$8&amp;"]","[IF].[ano]","[IF].[ano].&amp;["&amp;H$7&amp;"]","[IF].[informacion]","[IF].[informacion].&amp;["&amp;H$9&amp;"]"),0)</f>
        <v>0</v>
      </c>
      <c r="I84" s="9">
        <f>IFERROR(GETPIVOTDATA("[Measures].[Suma de valor]",base!$A$3,"[IF].[departamento_jerarquia2]","[IF].[departamento_jerarquia2].&amp;["&amp;I$5&amp;"]","[IF].[grupo_analisis]","[IF].[grupo_analisis].&amp;["&amp;$B84&amp;"]","[IF].[mes]","[IF].[mes].&amp;["&amp;I$8&amp;"]","[IF].[ano]","[IF].[ano].&amp;["&amp;I$7&amp;"]","[IF].[informacion]","[IF].[informacion].&amp;["&amp;I$9&amp;"]"),0)</f>
        <v>0</v>
      </c>
      <c r="J84" s="9"/>
      <c r="K84" s="9"/>
      <c r="L84" s="12">
        <f>SUM(C84:K84)</f>
        <v>0</v>
      </c>
      <c r="N84" s="12">
        <f>L84</f>
        <v>0</v>
      </c>
    </row>
    <row r="85" spans="2:14" x14ac:dyDescent="0.25">
      <c r="B85" s="14" t="s">
        <v>210</v>
      </c>
      <c r="C85" s="15">
        <f t="shared" ref="C85:L85" si="17">SUM(C82:C84)</f>
        <v>0</v>
      </c>
      <c r="D85" s="15">
        <f t="shared" si="17"/>
        <v>0</v>
      </c>
      <c r="E85" s="15">
        <f t="shared" si="17"/>
        <v>8.9008130000000005E-2</v>
      </c>
      <c r="F85" s="15">
        <f t="shared" si="17"/>
        <v>0</v>
      </c>
      <c r="G85" s="15">
        <f t="shared" si="17"/>
        <v>0</v>
      </c>
      <c r="H85" s="15">
        <f t="shared" si="17"/>
        <v>0</v>
      </c>
      <c r="I85" s="15">
        <f t="shared" si="17"/>
        <v>2.1884735399999995</v>
      </c>
      <c r="J85" s="15"/>
      <c r="K85" s="15"/>
      <c r="L85" s="16">
        <f t="shared" si="17"/>
        <v>2.2774816699999993</v>
      </c>
      <c r="N85" s="16">
        <f>SUM(N82:N84)</f>
        <v>2.2774816699999993</v>
      </c>
    </row>
    <row r="87" spans="2:14" x14ac:dyDescent="0.25">
      <c r="B87" s="14" t="s">
        <v>211</v>
      </c>
      <c r="C87" s="15">
        <f t="shared" ref="C87:L87" si="18">C80-C85</f>
        <v>0</v>
      </c>
      <c r="D87" s="15">
        <f t="shared" si="18"/>
        <v>1.089769</v>
      </c>
      <c r="E87" s="15">
        <f t="shared" si="18"/>
        <v>9.9105179000000003</v>
      </c>
      <c r="F87" s="15">
        <f t="shared" si="18"/>
        <v>2.1</v>
      </c>
      <c r="G87" s="15">
        <f t="shared" si="18"/>
        <v>0</v>
      </c>
      <c r="H87" s="15">
        <f t="shared" si="18"/>
        <v>0</v>
      </c>
      <c r="I87" s="15">
        <f t="shared" si="18"/>
        <v>28.42291646</v>
      </c>
      <c r="J87" s="15"/>
      <c r="K87" s="15"/>
      <c r="L87" s="16">
        <f t="shared" si="18"/>
        <v>41.523203359999997</v>
      </c>
      <c r="N87" s="16">
        <f>N80-N85</f>
        <v>41.523203359999997</v>
      </c>
    </row>
    <row r="89" spans="2:14" x14ac:dyDescent="0.25">
      <c r="B89" s="14" t="s">
        <v>212</v>
      </c>
      <c r="C89" s="15">
        <f t="shared" ref="C89:L89" si="19">C75+C87</f>
        <v>0</v>
      </c>
      <c r="D89" s="15">
        <f t="shared" si="19"/>
        <v>-61.279737780536941</v>
      </c>
      <c r="E89" s="15">
        <f t="shared" si="19"/>
        <v>108.51448912173686</v>
      </c>
      <c r="F89" s="15">
        <f t="shared" si="19"/>
        <v>7.4597560000000005</v>
      </c>
      <c r="G89" s="15">
        <f t="shared" si="19"/>
        <v>0</v>
      </c>
      <c r="H89" s="15">
        <f t="shared" si="19"/>
        <v>0</v>
      </c>
      <c r="I89" s="15">
        <f t="shared" si="19"/>
        <v>191.80079765999983</v>
      </c>
      <c r="J89" s="15"/>
      <c r="K89" s="15"/>
      <c r="L89" s="16">
        <f t="shared" si="19"/>
        <v>246.49530500119997</v>
      </c>
      <c r="N89" s="16">
        <f>N75+N87</f>
        <v>246.49530500119997</v>
      </c>
    </row>
    <row r="90" spans="2:14" x14ac:dyDescent="0.25">
      <c r="B90" t="s">
        <v>213</v>
      </c>
      <c r="C90" s="7">
        <f t="shared" ref="C90:L90" si="20">IFERROR(C89/(C39+C80),0)</f>
        <v>0</v>
      </c>
      <c r="D90" s="7">
        <f t="shared" si="20"/>
        <v>-0.40009330009717875</v>
      </c>
      <c r="E90" s="7">
        <f t="shared" si="20"/>
        <v>9.4910403378005118E-2</v>
      </c>
      <c r="F90" s="7">
        <f t="shared" si="20"/>
        <v>0.94307914032869788</v>
      </c>
      <c r="G90" s="7">
        <f t="shared" si="20"/>
        <v>0</v>
      </c>
      <c r="H90" s="7">
        <f t="shared" si="20"/>
        <v>0</v>
      </c>
      <c r="I90" s="7">
        <f t="shared" si="20"/>
        <v>0.14031274037057184</v>
      </c>
      <c r="J90" s="7"/>
      <c r="K90" s="7"/>
      <c r="L90" s="7">
        <f t="shared" si="20"/>
        <v>9.2273275322605805E-2</v>
      </c>
      <c r="N90" s="7">
        <f>IFERROR(N89/(N39+N80),0)</f>
        <v>9.4401903641372464E-2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4F038-3287-4E80-8689-8317E69B9EF8}">
  <sheetPr codeName="Hoja7">
    <outlinePr summaryBelow="0"/>
  </sheetPr>
  <dimension ref="A1:N90"/>
  <sheetViews>
    <sheetView showGridLines="0" workbookViewId="0">
      <pane xSplit="2" ySplit="11" topLeftCell="C12" activePane="bottomRight" state="frozen"/>
      <selection pane="topRight"/>
      <selection pane="bottomLeft"/>
      <selection pane="bottomRight" activeCell="F4" sqref="F4"/>
    </sheetView>
  </sheetViews>
  <sheetFormatPr baseColWidth="10" defaultRowHeight="15" outlineLevelRow="1" x14ac:dyDescent="0.25"/>
  <cols>
    <col min="2" max="2" width="32.28515625" bestFit="1" customWidth="1"/>
  </cols>
  <sheetData>
    <row r="1" spans="2:14" outlineLevel="1" x14ac:dyDescent="0.25">
      <c r="B1" t="str" vm="6">
        <f>base!B1</f>
        <v>281</v>
      </c>
    </row>
    <row r="2" spans="2:14" outlineLevel="1" x14ac:dyDescent="0.25"/>
    <row r="3" spans="2:14" outlineLevel="1" x14ac:dyDescent="0.25"/>
    <row r="4" spans="2:14" outlineLevel="1" x14ac:dyDescent="0.25"/>
    <row r="5" spans="2:14" outlineLevel="1" x14ac:dyDescent="0.25">
      <c r="C5" s="5" t="e">
        <f>VLOOKUP($B$1&amp;"-"&amp;C$11,tipo_departamento[#All],3,0)</f>
        <v>#N/A</v>
      </c>
      <c r="D5" s="5" t="str">
        <f>VLOOKUP($B$1&amp;"-"&amp;D$11,tipo_departamento[#All],3,0)</f>
        <v>48</v>
      </c>
      <c r="E5" s="5"/>
      <c r="F5" s="5" t="str">
        <f>VLOOKUP($B$1&amp;"-"&amp;F$11,tipo_departamento[#All],3,0)</f>
        <v>922</v>
      </c>
      <c r="G5" s="5" t="e">
        <f>VLOOKUP($B$1&amp;"-"&amp;G$11,tipo_departamento[#All],3,0)</f>
        <v>#N/A</v>
      </c>
      <c r="H5" s="5" t="str">
        <f>VLOOKUP($B$1&amp;"-"&amp;H$11,tipo_departamento[#All],3,0)</f>
        <v>660</v>
      </c>
      <c r="I5" s="5" t="str">
        <f>VLOOKUP($B$1&amp;"-"&amp;I$11,tipo_departamento[#All],3,0)</f>
        <v>534</v>
      </c>
      <c r="J5" s="5" t="str">
        <f>VLOOKUP($B$1&amp;"-"&amp;J$11,tipo_departamento[#All],3,0)</f>
        <v>27</v>
      </c>
      <c r="K5" s="5" t="str">
        <f>VLOOKUP($B$1&amp;"-"&amp;K$11,tipo_departamento[#All],3,0)</f>
        <v>582</v>
      </c>
      <c r="L5" s="5"/>
      <c r="N5" s="5"/>
    </row>
    <row r="6" spans="2:14" outlineLevel="1" x14ac:dyDescent="0.25"/>
    <row r="7" spans="2:14" x14ac:dyDescent="0.25">
      <c r="B7" t="s">
        <v>201</v>
      </c>
      <c r="C7" s="17">
        <f>modelo!L4</f>
        <v>2020</v>
      </c>
      <c r="D7" s="17">
        <f t="shared" ref="D7:L9" si="0">C7</f>
        <v>2020</v>
      </c>
      <c r="E7" s="17">
        <f t="shared" si="0"/>
        <v>2020</v>
      </c>
      <c r="F7" s="17">
        <f t="shared" si="0"/>
        <v>2020</v>
      </c>
      <c r="G7" s="17">
        <f t="shared" si="0"/>
        <v>2020</v>
      </c>
      <c r="H7" s="17">
        <f t="shared" si="0"/>
        <v>2020</v>
      </c>
      <c r="I7" s="17">
        <f t="shared" si="0"/>
        <v>2020</v>
      </c>
      <c r="J7" s="17">
        <f t="shared" si="0"/>
        <v>2020</v>
      </c>
      <c r="K7" s="17">
        <f t="shared" si="0"/>
        <v>2020</v>
      </c>
      <c r="L7" s="17">
        <f t="shared" si="0"/>
        <v>2020</v>
      </c>
      <c r="M7" s="5"/>
      <c r="N7" s="5"/>
    </row>
    <row r="8" spans="2:14" x14ac:dyDescent="0.25">
      <c r="B8" t="s">
        <v>202</v>
      </c>
      <c r="C8" s="5">
        <v>12</v>
      </c>
      <c r="D8" s="5">
        <f t="shared" si="0"/>
        <v>12</v>
      </c>
      <c r="E8" s="5">
        <f t="shared" si="0"/>
        <v>12</v>
      </c>
      <c r="F8" s="5">
        <f t="shared" si="0"/>
        <v>12</v>
      </c>
      <c r="G8" s="5">
        <f t="shared" si="0"/>
        <v>12</v>
      </c>
      <c r="H8" s="5">
        <f t="shared" si="0"/>
        <v>12</v>
      </c>
      <c r="I8" s="5">
        <f t="shared" si="0"/>
        <v>12</v>
      </c>
      <c r="J8" s="5">
        <f t="shared" si="0"/>
        <v>12</v>
      </c>
      <c r="K8" s="5">
        <f t="shared" si="0"/>
        <v>12</v>
      </c>
      <c r="L8" s="5">
        <f t="shared" si="0"/>
        <v>12</v>
      </c>
      <c r="N8" s="5" t="s">
        <v>212</v>
      </c>
    </row>
    <row r="9" spans="2:14" x14ac:dyDescent="0.25">
      <c r="C9" s="17" t="s">
        <v>127</v>
      </c>
      <c r="D9" s="17" t="str">
        <f t="shared" si="0"/>
        <v>EJECUCION</v>
      </c>
      <c r="E9" s="17" t="str">
        <f t="shared" si="0"/>
        <v>EJECUCION</v>
      </c>
      <c r="F9" s="17" t="str">
        <f t="shared" si="0"/>
        <v>EJECUCION</v>
      </c>
      <c r="G9" s="17" t="str">
        <f t="shared" si="0"/>
        <v>EJECUCION</v>
      </c>
      <c r="H9" s="17" t="str">
        <f t="shared" si="0"/>
        <v>EJECUCION</v>
      </c>
      <c r="I9" s="17" t="str">
        <f t="shared" si="0"/>
        <v>EJECUCION</v>
      </c>
      <c r="J9" s="17" t="str">
        <f t="shared" si="0"/>
        <v>EJECUCION</v>
      </c>
      <c r="K9" s="17" t="str">
        <f t="shared" si="0"/>
        <v>EJECUCION</v>
      </c>
      <c r="L9" s="17" t="str">
        <f t="shared" si="0"/>
        <v>EJECUCION</v>
      </c>
      <c r="N9" s="5" t="s">
        <v>251</v>
      </c>
    </row>
    <row r="11" spans="2:14" ht="38.25" x14ac:dyDescent="0.25">
      <c r="C11" s="4" t="s">
        <v>119</v>
      </c>
      <c r="D11" s="4" t="s">
        <v>118</v>
      </c>
      <c r="E11" s="4" t="s">
        <v>308</v>
      </c>
      <c r="F11" s="4" t="s">
        <v>105</v>
      </c>
      <c r="G11" s="4" t="s">
        <v>214</v>
      </c>
      <c r="H11" s="4" t="s">
        <v>165</v>
      </c>
      <c r="I11" s="4" t="s">
        <v>215</v>
      </c>
      <c r="J11" s="4" t="s">
        <v>216</v>
      </c>
      <c r="K11" s="4" t="s">
        <v>217</v>
      </c>
      <c r="L11" s="4" t="s">
        <v>218</v>
      </c>
      <c r="N11" s="4" t="s">
        <v>218</v>
      </c>
    </row>
    <row r="13" spans="2:14" x14ac:dyDescent="0.25">
      <c r="B13" t="s">
        <v>119</v>
      </c>
      <c r="C13" s="9">
        <f>IFERROR(GETPIVOTDATA("[Measures].[Suma de valor]",base!$A$3,"[IF].[departamento_jerarquia2]","[IF].[departamento_jerarquia2].&amp;["&amp;C$5&amp;"]","[IF].[grupo_analisis]","[IF].[grupo_analisis].&amp;["&amp;$B13&amp;"]","[IF].[mes]","[IF].[mes].&amp;["&amp;C$8&amp;"]","[IF].[ano]","[IF].[ano].&amp;["&amp;C$7&amp;"]","[IF].[informacion]","[IF].[informacion].&amp;["&amp;C$9&amp;"]"),0)</f>
        <v>0</v>
      </c>
      <c r="D13" s="9">
        <f>IFERROR(GETPIVOTDATA("[Measures].[Suma de valor]",base!$A$3,"[IF].[departamento_jerarquia2]","[IF].[departamento_jerarquia2].&amp;["&amp;D$5&amp;"]","[IF].[grupo_analisis]","[IF].[grupo_analisis].&amp;["&amp;$B13&amp;"]","[IF].[mes]","[IF].[mes].&amp;["&amp;D$8&amp;"]","[IF].[ano]","[IF].[ano].&amp;["&amp;D$7&amp;"]","[IF].[informacion]","[IF].[informacion].&amp;["&amp;D$9&amp;"]"),0)-E13</f>
        <v>0</v>
      </c>
      <c r="E13" s="9">
        <f>IFERROR(GETPIVOTDATA("[Measures].[Suma de valor]",base!$AN$5,"[IF].[grupo_analisis]","[IF].[grupo_analisis].&amp;["&amp;$B13&amp;"]","[IF].[mes]","[IF].[mes].&amp;["&amp;E$8&amp;"]","[IF].[ano]","[IF].[ano].&amp;["&amp;E$7&amp;"]","[IF].[informacion]","[IF].[informacion].&amp;["&amp;E$9&amp;"]"),0)</f>
        <v>0</v>
      </c>
      <c r="F13" s="9">
        <f>IFERROR(GETPIVOTDATA("[Measures].[Suma de valor]",base!$A$3,"[IF].[departamento_jerarquia2]","[IF].[departamento_jerarquia2].&amp;["&amp;F$5&amp;"]","[IF].[grupo_analisis]","[IF].[grupo_analisis].&amp;["&amp;$B13&amp;"]","[IF].[mes]","[IF].[mes].&amp;["&amp;F$8&amp;"]","[IF].[ano]","[IF].[ano].&amp;["&amp;F$7&amp;"]","[IF].[informacion]","[IF].[informacion].&amp;["&amp;F$9&amp;"]"),0)</f>
        <v>0</v>
      </c>
      <c r="G13" s="9">
        <f>IFERROR(GETPIVOTDATA("[Measures].[Suma de valor]",base!$A$3,"[IF].[departamento_jerarquia2]","[IF].[departamento_jerarquia2].&amp;["&amp;G$5&amp;"]","[IF].[grupo_analisis]","[IF].[grupo_analisis].&amp;["&amp;$B13&amp;"]","[IF].[mes]","[IF].[mes].&amp;["&amp;G$8&amp;"]","[IF].[ano]","[IF].[ano].&amp;["&amp;G$7&amp;"]","[IF].[informacion]","[IF].[informacion].&amp;["&amp;G$9&amp;"]"),0)</f>
        <v>0</v>
      </c>
      <c r="H13" s="9">
        <f>IFERROR(GETPIVOTDATA("[Measures].[Suma de valor]",base!$A$3,"[IF].[departamento_jerarquia2]","[IF].[departamento_jerarquia2].&amp;["&amp;H$5&amp;"]","[IF].[grupo_analisis]","[IF].[grupo_analisis].&amp;["&amp;$B13&amp;"]","[IF].[mes]","[IF].[mes].&amp;["&amp;H$8&amp;"]","[IF].[ano]","[IF].[ano].&amp;["&amp;H$7&amp;"]","[IF].[informacion]","[IF].[informacion].&amp;["&amp;H$9&amp;"]"),0)</f>
        <v>0</v>
      </c>
      <c r="I13" s="9">
        <f>IFERROR(GETPIVOTDATA("[Measures].[Suma de valor]",base!$A$3,"[IF].[departamento_jerarquia2]","[IF].[departamento_jerarquia2].&amp;["&amp;I$5&amp;"]","[IF].[grupo_analisis]","[IF].[grupo_analisis].&amp;["&amp;$B13&amp;"]","[IF].[mes]","[IF].[mes].&amp;["&amp;I$8&amp;"]","[IF].[ano]","[IF].[ano].&amp;["&amp;I$7&amp;"]","[IF].[informacion]","[IF].[informacion].&amp;["&amp;I$9&amp;"]"),0)</f>
        <v>0</v>
      </c>
      <c r="J13" s="9"/>
      <c r="K13" s="9"/>
      <c r="L13" s="12">
        <f t="shared" ref="L13:L38" si="1">SUM(C13:K13)</f>
        <v>0</v>
      </c>
      <c r="N13" s="12">
        <f t="shared" ref="N13:N20" si="2">L13</f>
        <v>0</v>
      </c>
    </row>
    <row r="14" spans="2:14" x14ac:dyDescent="0.25">
      <c r="B14" t="s">
        <v>118</v>
      </c>
      <c r="C14" s="9">
        <f>IFERROR(GETPIVOTDATA("[Measures].[Suma de valor]",base!$A$3,"[IF].[departamento_jerarquia2]","[IF].[departamento_jerarquia2].&amp;["&amp;C$5&amp;"]","[IF].[grupo_analisis]","[IF].[grupo_analisis].&amp;["&amp;$B14&amp;"]","[IF].[mes]","[IF].[mes].&amp;["&amp;C$8&amp;"]","[IF].[ano]","[IF].[ano].&amp;["&amp;C$7&amp;"]","[IF].[informacion]","[IF].[informacion].&amp;["&amp;C$9&amp;"]"),0)</f>
        <v>0</v>
      </c>
      <c r="D14" s="9">
        <f>IFERROR(GETPIVOTDATA("[Measures].[Suma de valor]",base!$A$3,"[IF].[departamento_jerarquia2]","[IF].[departamento_jerarquia2].&amp;["&amp;D$5&amp;"]","[IF].[grupo_analisis]","[IF].[grupo_analisis].&amp;["&amp;$B14&amp;"]","[IF].[mes]","[IF].[mes].&amp;["&amp;D$8&amp;"]","[IF].[ano]","[IF].[ano].&amp;["&amp;D$7&amp;"]","[IF].[informacion]","[IF].[informacion].&amp;["&amp;D$9&amp;"]"),0)-E14</f>
        <v>138.81979200000001</v>
      </c>
      <c r="E14" s="9">
        <f>IFERROR(GETPIVOTDATA("[Measures].[Suma de valor]",base!$AN$5,"[IF].[grupo_analisis]","[IF].[grupo_analisis].&amp;["&amp;$B14&amp;"]","[IF].[mes]","[IF].[mes].&amp;["&amp;E$8&amp;"]","[IF].[ano]","[IF].[ano].&amp;["&amp;E$7&amp;"]","[IF].[informacion]","[IF].[informacion].&amp;["&amp;E$9&amp;"]"),0)</f>
        <v>1127.2758329999999</v>
      </c>
      <c r="F14" s="9">
        <f>IFERROR(GETPIVOTDATA("[Measures].[Suma de valor]",base!$A$3,"[IF].[departamento_jerarquia2]","[IF].[departamento_jerarquia2].&amp;["&amp;F$5&amp;"]","[IF].[grupo_analisis]","[IF].[grupo_analisis].&amp;["&amp;$B14&amp;"]","[IF].[mes]","[IF].[mes].&amp;["&amp;F$8&amp;"]","[IF].[ano]","[IF].[ano].&amp;["&amp;F$7&amp;"]","[IF].[informacion]","[IF].[informacion].&amp;["&amp;F$9&amp;"]"),0)</f>
        <v>0</v>
      </c>
      <c r="G14" s="9">
        <f>IFERROR(GETPIVOTDATA("[Measures].[Suma de valor]",base!$A$3,"[IF].[departamento_jerarquia2]","[IF].[departamento_jerarquia2].&amp;["&amp;G$5&amp;"]","[IF].[grupo_analisis]","[IF].[grupo_analisis].&amp;["&amp;$B14&amp;"]","[IF].[mes]","[IF].[mes].&amp;["&amp;G$8&amp;"]","[IF].[ano]","[IF].[ano].&amp;["&amp;G$7&amp;"]","[IF].[informacion]","[IF].[informacion].&amp;["&amp;G$9&amp;"]"),0)</f>
        <v>0</v>
      </c>
      <c r="H14" s="9">
        <f>IFERROR(GETPIVOTDATA("[Measures].[Suma de valor]",base!$A$3,"[IF].[departamento_jerarquia2]","[IF].[departamento_jerarquia2].&amp;["&amp;H$5&amp;"]","[IF].[grupo_analisis]","[IF].[grupo_analisis].&amp;["&amp;$B14&amp;"]","[IF].[mes]","[IF].[mes].&amp;["&amp;H$8&amp;"]","[IF].[ano]","[IF].[ano].&amp;["&amp;H$7&amp;"]","[IF].[informacion]","[IF].[informacion].&amp;["&amp;H$9&amp;"]"),0)</f>
        <v>0</v>
      </c>
      <c r="I14" s="9">
        <f>IFERROR(GETPIVOTDATA("[Measures].[Suma de valor]",base!$A$3,"[IF].[departamento_jerarquia2]","[IF].[departamento_jerarquia2].&amp;["&amp;I$5&amp;"]","[IF].[grupo_analisis]","[IF].[grupo_analisis].&amp;["&amp;$B14&amp;"]","[IF].[mes]","[IF].[mes].&amp;["&amp;I$8&amp;"]","[IF].[ano]","[IF].[ano].&amp;["&amp;I$7&amp;"]","[IF].[informacion]","[IF].[informacion].&amp;["&amp;I$9&amp;"]"),0)</f>
        <v>0</v>
      </c>
      <c r="J14" s="9"/>
      <c r="K14" s="9"/>
      <c r="L14" s="12">
        <f t="shared" si="1"/>
        <v>1266.0956249999999</v>
      </c>
      <c r="N14" s="12">
        <f t="shared" si="2"/>
        <v>1266.0956249999999</v>
      </c>
    </row>
    <row r="15" spans="2:14" x14ac:dyDescent="0.25">
      <c r="B15" t="s">
        <v>116</v>
      </c>
      <c r="C15" s="9">
        <f>IFERROR(GETPIVOTDATA("[Measures].[Suma de valor]",base!$A$3,"[IF].[departamento_jerarquia2]","[IF].[departamento_jerarquia2].&amp;["&amp;C$5&amp;"]","[IF].[grupo_analisis]","[IF].[grupo_analisis].&amp;["&amp;$B15&amp;"]","[IF].[mes]","[IF].[mes].&amp;["&amp;C$8&amp;"]","[IF].[ano]","[IF].[ano].&amp;["&amp;C$7&amp;"]","[IF].[informacion]","[IF].[informacion].&amp;["&amp;C$9&amp;"]"),0)-C18</f>
        <v>-36.07</v>
      </c>
      <c r="D15" s="9">
        <f>IFERROR(GETPIVOTDATA("[Measures].[Suma de valor]",base!$A$3,"[IF].[departamento_jerarquia2]","[IF].[departamento_jerarquia2].&amp;["&amp;D$5&amp;"]","[IF].[grupo_analisis]","[IF].[grupo_analisis].&amp;["&amp;$B15&amp;"]","[IF].[mes]","[IF].[mes].&amp;["&amp;D$8&amp;"]","[IF].[ano]","[IF].[ano].&amp;["&amp;D$7&amp;"]","[IF].[informacion]","[IF].[informacion].&amp;["&amp;D$9&amp;"]"),0)-E15-D18</f>
        <v>3.280225999999999</v>
      </c>
      <c r="E15" s="9">
        <f>IFERROR(GETPIVOTDATA("[Measures].[Suma de valor]",base!$AN$5,"[IF].[grupo_analisis]","[IF].[grupo_analisis].&amp;["&amp;$B15&amp;"]","[IF].[mes]","[IF].[mes].&amp;["&amp;E$8&amp;"]","[IF].[ano]","[IF].[ano].&amp;["&amp;E$7&amp;"]","[IF].[informacion]","[IF].[informacion].&amp;["&amp;E$9&amp;"]"),0)</f>
        <v>25.334573000000002</v>
      </c>
      <c r="F15" s="9">
        <f>IFERROR(GETPIVOTDATA("[Measures].[Suma de valor]",base!$A$3,"[IF].[departamento_jerarquia2]","[IF].[departamento_jerarquia2].&amp;["&amp;F$5&amp;"]","[IF].[grupo_analisis]","[IF].[grupo_analisis].&amp;["&amp;$B15&amp;"]","[IF].[mes]","[IF].[mes].&amp;["&amp;F$8&amp;"]","[IF].[ano]","[IF].[ano].&amp;["&amp;F$7&amp;"]","[IF].[informacion]","[IF].[informacion].&amp;["&amp;F$9&amp;"]"),0)-F18</f>
        <v>0</v>
      </c>
      <c r="G15" s="9">
        <f>IFERROR(GETPIVOTDATA("[Measures].[Suma de valor]",base!$A$3,"[IF].[departamento_jerarquia2]","[IF].[departamento_jerarquia2].&amp;["&amp;G$5&amp;"]","[IF].[grupo_analisis]","[IF].[grupo_analisis].&amp;["&amp;$B15&amp;"]","[IF].[mes]","[IF].[mes].&amp;["&amp;G$8&amp;"]","[IF].[ano]","[IF].[ano].&amp;["&amp;G$7&amp;"]","[IF].[informacion]","[IF].[informacion].&amp;["&amp;G$9&amp;"]"),0)-G18</f>
        <v>0</v>
      </c>
      <c r="H15" s="9">
        <f>IFERROR(GETPIVOTDATA("[Measures].[Suma de valor]",base!$A$3,"[IF].[departamento_jerarquia2]","[IF].[departamento_jerarquia2].&amp;["&amp;H$5&amp;"]","[IF].[grupo_analisis]","[IF].[grupo_analisis].&amp;["&amp;$B15&amp;"]","[IF].[mes]","[IF].[mes].&amp;["&amp;H$8&amp;"]","[IF].[ano]","[IF].[ano].&amp;["&amp;H$7&amp;"]","[IF].[informacion]","[IF].[informacion].&amp;["&amp;H$9&amp;"]"),0)-H18</f>
        <v>0</v>
      </c>
      <c r="I15" s="9">
        <f>IFERROR(GETPIVOTDATA("[Measures].[Suma de valor]",base!$A$3,"[IF].[departamento_jerarquia2]","[IF].[departamento_jerarquia2].&amp;["&amp;I$5&amp;"]","[IF].[grupo_analisis]","[IF].[grupo_analisis].&amp;["&amp;$B15&amp;"]","[IF].[mes]","[IF].[mes].&amp;["&amp;I$8&amp;"]","[IF].[ano]","[IF].[ano].&amp;["&amp;I$7&amp;"]","[IF].[informacion]","[IF].[informacion].&amp;["&amp;I$9&amp;"]"),0)-I18</f>
        <v>6.1650000000000003E-2</v>
      </c>
      <c r="J15" s="9"/>
      <c r="K15" s="9"/>
      <c r="L15" s="12">
        <f t="shared" si="1"/>
        <v>-7.3935509999999987</v>
      </c>
      <c r="N15" s="12">
        <f t="shared" si="2"/>
        <v>-7.3935509999999987</v>
      </c>
    </row>
    <row r="16" spans="2:14" x14ac:dyDescent="0.25">
      <c r="B16" t="s">
        <v>117</v>
      </c>
      <c r="C16" s="9">
        <f>IFERROR(GETPIVOTDATA("[Measures].[Suma de valor]",base!$A$3,"[IF].[departamento_jerarquia2]","[IF].[departamento_jerarquia2].&amp;["&amp;C$5&amp;"]","[IF].[grupo_analisis]","[IF].[grupo_analisis].&amp;["&amp;$B16&amp;"]","[IF].[mes]","[IF].[mes].&amp;["&amp;C$8&amp;"]","[IF].[ano]","[IF].[ano].&amp;["&amp;C$7&amp;"]","[IF].[informacion]","[IF].[informacion].&amp;["&amp;C$9&amp;"]"),0)</f>
        <v>0</v>
      </c>
      <c r="D16" s="9">
        <f>IFERROR(GETPIVOTDATA("[Measures].[Suma de valor]",base!$A$3,"[IF].[departamento_jerarquia2]","[IF].[departamento_jerarquia2].&amp;["&amp;D$5&amp;"]","[IF].[grupo_analisis]","[IF].[grupo_analisis].&amp;["&amp;$B16&amp;"]","[IF].[mes]","[IF].[mes].&amp;["&amp;D$8&amp;"]","[IF].[ano]","[IF].[ano].&amp;["&amp;D$7&amp;"]","[IF].[informacion]","[IF].[informacion].&amp;["&amp;D$9&amp;"]"),0)-E16</f>
        <v>0</v>
      </c>
      <c r="E16" s="9">
        <f>IFERROR(GETPIVOTDATA("[Measures].[Suma de valor]",base!$AN$5,"[IF].[grupo_analisis]","[IF].[grupo_analisis].&amp;["&amp;$B16&amp;"]","[IF].[mes]","[IF].[mes].&amp;["&amp;E$8&amp;"]","[IF].[ano]","[IF].[ano].&amp;["&amp;E$7&amp;"]","[IF].[informacion]","[IF].[informacion].&amp;["&amp;E$9&amp;"]"),0)</f>
        <v>0</v>
      </c>
      <c r="F16" s="9">
        <f>IFERROR(GETPIVOTDATA("[Measures].[Suma de valor]",base!$A$3,"[IF].[departamento_jerarquia2]","[IF].[departamento_jerarquia2].&amp;["&amp;F$5&amp;"]","[IF].[grupo_analisis]","[IF].[grupo_analisis].&amp;["&amp;$B16&amp;"]","[IF].[mes]","[IF].[mes].&amp;["&amp;F$8&amp;"]","[IF].[ano]","[IF].[ano].&amp;["&amp;F$7&amp;"]","[IF].[informacion]","[IF].[informacion].&amp;["&amp;F$9&amp;"]"),0)</f>
        <v>0</v>
      </c>
      <c r="G16" s="9">
        <f>IFERROR(GETPIVOTDATA("[Measures].[Suma de valor]",base!$A$3,"[IF].[departamento_jerarquia2]","[IF].[departamento_jerarquia2].&amp;["&amp;G$5&amp;"]","[IF].[grupo_analisis]","[IF].[grupo_analisis].&amp;["&amp;$B16&amp;"]","[IF].[mes]","[IF].[mes].&amp;["&amp;G$8&amp;"]","[IF].[ano]","[IF].[ano].&amp;["&amp;G$7&amp;"]","[IF].[informacion]","[IF].[informacion].&amp;["&amp;G$9&amp;"]"),0)</f>
        <v>0</v>
      </c>
      <c r="H16" s="9">
        <f>IFERROR(GETPIVOTDATA("[Measures].[Suma de valor]",base!$A$3,"[IF].[departamento_jerarquia2]","[IF].[departamento_jerarquia2].&amp;["&amp;H$5&amp;"]","[IF].[grupo_analisis]","[IF].[grupo_analisis].&amp;["&amp;$B16&amp;"]","[IF].[mes]","[IF].[mes].&amp;["&amp;H$8&amp;"]","[IF].[ano]","[IF].[ano].&amp;["&amp;H$7&amp;"]","[IF].[informacion]","[IF].[informacion].&amp;["&amp;H$9&amp;"]"),0)</f>
        <v>0</v>
      </c>
      <c r="I16" s="9">
        <f>IFERROR(GETPIVOTDATA("[Measures].[Suma de valor]",base!$A$3,"[IF].[departamento_jerarquia2]","[IF].[departamento_jerarquia2].&amp;["&amp;I$5&amp;"]","[IF].[grupo_analisis]","[IF].[grupo_analisis].&amp;["&amp;$B16&amp;"]","[IF].[mes]","[IF].[mes].&amp;["&amp;I$8&amp;"]","[IF].[ano]","[IF].[ano].&amp;["&amp;I$7&amp;"]","[IF].[informacion]","[IF].[informacion].&amp;["&amp;I$9&amp;"]"),0)</f>
        <v>0</v>
      </c>
      <c r="J16" s="9"/>
      <c r="K16" s="9"/>
      <c r="L16" s="12">
        <f t="shared" si="1"/>
        <v>0</v>
      </c>
      <c r="N16" s="12">
        <f t="shared" si="2"/>
        <v>0</v>
      </c>
    </row>
    <row r="17" spans="1:14" x14ac:dyDescent="0.25">
      <c r="B17" t="s">
        <v>105</v>
      </c>
      <c r="C17" s="9">
        <f>IFERROR(GETPIVOTDATA("[Measures].[Suma de valor]",base!$A$3,"[IF].[departamento_jerarquia2]","[IF].[departamento_jerarquia2].&amp;["&amp;C$5&amp;"]","[IF].[grupo_analisis]","[IF].[grupo_analisis].&amp;["&amp;$B17&amp;"]","[IF].[mes]","[IF].[mes].&amp;["&amp;C$8&amp;"]","[IF].[ano]","[IF].[ano].&amp;["&amp;C$7&amp;"]","[IF].[informacion]","[IF].[informacion].&amp;["&amp;C$9&amp;"]"),0)</f>
        <v>0</v>
      </c>
      <c r="D17" s="9">
        <f>IFERROR(GETPIVOTDATA("[Measures].[Suma de valor]",base!$A$3,"[IF].[departamento_jerarquia2]","[IF].[departamento_jerarquia2].&amp;["&amp;D$5&amp;"]","[IF].[grupo_analisis]","[IF].[grupo_analisis].&amp;["&amp;$B17&amp;"]","[IF].[mes]","[IF].[mes].&amp;["&amp;D$8&amp;"]","[IF].[ano]","[IF].[ano].&amp;["&amp;D$7&amp;"]","[IF].[informacion]","[IF].[informacion].&amp;["&amp;D$9&amp;"]"),0)-E17</f>
        <v>0</v>
      </c>
      <c r="E17" s="9">
        <f>IFERROR(GETPIVOTDATA("[Measures].[Suma de valor]",base!$AN$5,"[IF].[grupo_analisis]","[IF].[grupo_analisis].&amp;["&amp;$B17&amp;"]","[IF].[mes]","[IF].[mes].&amp;["&amp;E$8&amp;"]","[IF].[ano]","[IF].[ano].&amp;["&amp;E$7&amp;"]","[IF].[informacion]","[IF].[informacion].&amp;["&amp;E$9&amp;"]"),0)</f>
        <v>0</v>
      </c>
      <c r="F17" s="9">
        <f>IFERROR(GETPIVOTDATA("[Measures].[Suma de valor]",base!$A$3,"[IF].[departamento_jerarquia2]","[IF].[departamento_jerarquia2].&amp;["&amp;F$5&amp;"]","[IF].[grupo_analisis]","[IF].[grupo_analisis].&amp;["&amp;$B17&amp;"]","[IF].[mes]","[IF].[mes].&amp;["&amp;F$8&amp;"]","[IF].[ano]","[IF].[ano].&amp;["&amp;F$7&amp;"]","[IF].[informacion]","[IF].[informacion].&amp;["&amp;F$9&amp;"]"),0)</f>
        <v>0</v>
      </c>
      <c r="G17" s="9">
        <f>IFERROR(GETPIVOTDATA("[Measures].[Suma de valor]",base!$A$3,"[IF].[departamento_jerarquia2]","[IF].[departamento_jerarquia2].&amp;["&amp;G$5&amp;"]","[IF].[grupo_analisis]","[IF].[grupo_analisis].&amp;["&amp;$B17&amp;"]","[IF].[mes]","[IF].[mes].&amp;["&amp;G$8&amp;"]","[IF].[ano]","[IF].[ano].&amp;["&amp;G$7&amp;"]","[IF].[informacion]","[IF].[informacion].&amp;["&amp;G$9&amp;"]"),0)</f>
        <v>0</v>
      </c>
      <c r="H17" s="9">
        <f>IFERROR(GETPIVOTDATA("[Measures].[Suma de valor]",base!$A$3,"[IF].[departamento_jerarquia2]","[IF].[departamento_jerarquia2].&amp;["&amp;H$5&amp;"]","[IF].[grupo_analisis]","[IF].[grupo_analisis].&amp;["&amp;$B17&amp;"]","[IF].[mes]","[IF].[mes].&amp;["&amp;H$8&amp;"]","[IF].[ano]","[IF].[ano].&amp;["&amp;H$7&amp;"]","[IF].[informacion]","[IF].[informacion].&amp;["&amp;H$9&amp;"]"),0)</f>
        <v>0</v>
      </c>
      <c r="I17" s="9">
        <f>IFERROR(GETPIVOTDATA("[Measures].[Suma de valor]",base!$A$3,"[IF].[departamento_jerarquia2]","[IF].[departamento_jerarquia2].&amp;["&amp;I$5&amp;"]","[IF].[grupo_analisis]","[IF].[grupo_analisis].&amp;["&amp;$B17&amp;"]","[IF].[mes]","[IF].[mes].&amp;["&amp;I$8&amp;"]","[IF].[ano]","[IF].[ano].&amp;["&amp;I$7&amp;"]","[IF].[informacion]","[IF].[informacion].&amp;["&amp;I$9&amp;"]"),0)</f>
        <v>81.722500000000011</v>
      </c>
      <c r="J17" s="9"/>
      <c r="K17" s="9"/>
      <c r="L17" s="12">
        <f t="shared" si="1"/>
        <v>81.722500000000011</v>
      </c>
      <c r="N17" s="12">
        <f t="shared" si="2"/>
        <v>81.722500000000011</v>
      </c>
    </row>
    <row r="18" spans="1:14" x14ac:dyDescent="0.25">
      <c r="B18" t="s">
        <v>165</v>
      </c>
      <c r="C18" s="9">
        <f>IFERROR(GETPIVOTDATA("[Measures].[Suma de valor]",base!$AD$4,"[IF].[mes]","[IF].[mes].&amp;["&amp;C$8&amp;"]","[IF].[ano]","[IF].[ano].&amp;["&amp;C$7&amp;"]","[IF].[informacion]","[IF].[informacion].&amp;["&amp;C$9&amp;"]","[IF].[nombre_cuenta]","[IF].[nombre_cuenta].&amp;[VACACIONALES]"),0)</f>
        <v>36.07</v>
      </c>
      <c r="D18" s="9">
        <f>IFERROR(GETPIVOTDATA("[Measures].[Suma de valor]",base!$U$3,"[IF].[departamento_jerarquia2]","[IF].[departamento_jerarquia2].&amp;["&amp;D$5&amp;"]","[IF].[mes]","[IF].[mes].&amp;["&amp;D$8&amp;"]","[IF].[ano]","[IF].[ano].&amp;["&amp;D$7&amp;"]","[IF].[informacion]","[IF].[informacion].&amp;["&amp;D$9&amp;"]","[IF].[nombre_cuenta]","[IF].[nombre_cuenta].&amp;["&amp;$B18&amp;"]"),0)-E18</f>
        <v>0</v>
      </c>
      <c r="E18" s="9">
        <f>IFERROR(GETPIVOTDATA("[Measures].[Suma de valor]",base!$AN$5,"[IF].[grupo_analisis]","[IF].[grupo_analisis].&amp;["&amp;$B18&amp;"]","[IF].[mes]","[IF].[mes].&amp;["&amp;E$8&amp;"]","[IF].[ano]","[IF].[ano].&amp;["&amp;E$7&amp;"]","[IF].[informacion]","[IF].[informacion].&amp;["&amp;E$9&amp;"]"),0)</f>
        <v>0</v>
      </c>
      <c r="F18" s="9">
        <f>IFERROR(GETPIVOTDATA("[Measures].[Suma de valor]",base!$U$3,"[IF].[departamento_jerarquia2]","[IF].[departamento_jerarquia2].&amp;["&amp;F$5&amp;"]","[IF].[mes]","[IF].[mes].&amp;["&amp;F$8&amp;"]","[IF].[ano]","[IF].[ano].&amp;["&amp;F$7&amp;"]","[IF].[informacion]","[IF].[informacion].&amp;["&amp;F$9&amp;"]","[IF].[nombre_cuenta]","[IF].[nombre_cuenta].&amp;["&amp;$B18&amp;"]"),0)</f>
        <v>0</v>
      </c>
      <c r="G18" s="9">
        <f>IFERROR(GETPIVOTDATA("[Measures].[Suma de valor]",base!$U$3,"[IF].[departamento_jerarquia2]","[IF].[departamento_jerarquia2].&amp;["&amp;G$5&amp;"]","[IF].[mes]","[IF].[mes].&amp;["&amp;G$8&amp;"]","[IF].[ano]","[IF].[ano].&amp;["&amp;G$7&amp;"]","[IF].[informacion]","[IF].[informacion].&amp;["&amp;G$9&amp;"]","[IF].[nombre_cuenta]","[IF].[nombre_cuenta].&amp;["&amp;$B18&amp;"]"),0)</f>
        <v>0</v>
      </c>
      <c r="H18" s="9">
        <f>IFERROR(GETPIVOTDATA("[Measures].[Suma de valor]",base!$U$3,"[IF].[departamento_jerarquia2]","[IF].[departamento_jerarquia2].&amp;["&amp;H$5&amp;"]","[IF].[mes]","[IF].[mes].&amp;["&amp;H$8&amp;"]","[IF].[ano]","[IF].[ano].&amp;["&amp;H$7&amp;"]","[IF].[informacion]","[IF].[informacion].&amp;["&amp;H$9&amp;"]","[IF].[nombre_cuenta]","[IF].[nombre_cuenta].&amp;["&amp;$B18&amp;"]"),0)</f>
        <v>0</v>
      </c>
      <c r="I18" s="9">
        <f>IFERROR(GETPIVOTDATA("[Measures].[Suma de valor]",base!$U$3,"[IF].[departamento_jerarquia2]","[IF].[departamento_jerarquia2].&amp;["&amp;I$5&amp;"]","[IF].[mes]","[IF].[mes].&amp;["&amp;I$8&amp;"]","[IF].[ano]","[IF].[ano].&amp;["&amp;I$7&amp;"]","[IF].[informacion]","[IF].[informacion].&amp;["&amp;I$9&amp;"]","[IF].[nombre_cuenta]","[IF].[nombre_cuenta].&amp;["&amp;$B18&amp;"]"),0)</f>
        <v>0</v>
      </c>
      <c r="J18" s="9"/>
      <c r="K18" s="9"/>
      <c r="L18" s="12">
        <f t="shared" si="1"/>
        <v>36.07</v>
      </c>
      <c r="N18" s="12">
        <f t="shared" si="2"/>
        <v>36.07</v>
      </c>
    </row>
    <row r="19" spans="1:14" x14ac:dyDescent="0.25">
      <c r="B19" t="s">
        <v>101</v>
      </c>
      <c r="C19" s="9">
        <f>IFERROR(GETPIVOTDATA("[Measures].[Suma de valor]",base!$A$3,"[IF].[departamento_jerarquia2]","[IF].[departamento_jerarquia2].&amp;["&amp;C$5&amp;"]","[IF].[grupo_analisis]","[IF].[grupo_analisis].&amp;["&amp;$B19&amp;"]","[IF].[mes]","[IF].[mes].&amp;["&amp;C$8&amp;"]","[IF].[ano]","[IF].[ano].&amp;["&amp;C$7&amp;"]","[IF].[informacion]","[IF].[informacion].&amp;["&amp;C$9&amp;"]"),0)</f>
        <v>0</v>
      </c>
      <c r="D19" s="9">
        <f>IFERROR(GETPIVOTDATA("[Measures].[Suma de valor]",base!$A$3,"[IF].[departamento_jerarquia2]","[IF].[departamento_jerarquia2].&amp;["&amp;D$5&amp;"]","[IF].[grupo_analisis]","[IF].[grupo_analisis].&amp;["&amp;$B19&amp;"]","[IF].[mes]","[IF].[mes].&amp;["&amp;D$8&amp;"]","[IF].[ano]","[IF].[ano].&amp;["&amp;D$7&amp;"]","[IF].[informacion]","[IF].[informacion].&amp;["&amp;D$9&amp;"]"),0)-E19</f>
        <v>0</v>
      </c>
      <c r="E19" s="9">
        <f>IFERROR(GETPIVOTDATA("[Measures].[Suma de valor]",base!$AN$5,"[IF].[grupo_analisis]","[IF].[grupo_analisis].&amp;["&amp;$B19&amp;"]","[IF].[mes]","[IF].[mes].&amp;["&amp;E$8&amp;"]","[IF].[ano]","[IF].[ano].&amp;["&amp;E$7&amp;"]","[IF].[informacion]","[IF].[informacion].&amp;["&amp;E$9&amp;"]"),0)</f>
        <v>0</v>
      </c>
      <c r="F19" s="9">
        <f>IFERROR(GETPIVOTDATA("[Measures].[Suma de valor]",base!$A$3,"[IF].[departamento_jerarquia2]","[IF].[departamento_jerarquia2].&amp;["&amp;F$5&amp;"]","[IF].[grupo_analisis]","[IF].[grupo_analisis].&amp;["&amp;$B19&amp;"]","[IF].[mes]","[IF].[mes].&amp;["&amp;F$8&amp;"]","[IF].[ano]","[IF].[ano].&amp;["&amp;F$7&amp;"]","[IF].[informacion]","[IF].[informacion].&amp;["&amp;F$9&amp;"]"),0)</f>
        <v>0</v>
      </c>
      <c r="G19" s="9">
        <f>IFERROR(GETPIVOTDATA("[Measures].[Suma de valor]",base!$A$3,"[IF].[departamento_jerarquia2]","[IF].[departamento_jerarquia2].&amp;["&amp;G$5&amp;"]","[IF].[grupo_analisis]","[IF].[grupo_analisis].&amp;["&amp;$B19&amp;"]","[IF].[mes]","[IF].[mes].&amp;["&amp;G$8&amp;"]","[IF].[ano]","[IF].[ano].&amp;["&amp;G$7&amp;"]","[IF].[informacion]","[IF].[informacion].&amp;["&amp;G$9&amp;"]"),0)</f>
        <v>0</v>
      </c>
      <c r="H19" s="9">
        <f>IFERROR(GETPIVOTDATA("[Measures].[Suma de valor]",base!$A$3,"[IF].[departamento_jerarquia2]","[IF].[departamento_jerarquia2].&amp;["&amp;H$5&amp;"]","[IF].[grupo_analisis]","[IF].[grupo_analisis].&amp;["&amp;$B19&amp;"]","[IF].[mes]","[IF].[mes].&amp;["&amp;H$8&amp;"]","[IF].[ano]","[IF].[ano].&amp;["&amp;H$7&amp;"]","[IF].[informacion]","[IF].[informacion].&amp;["&amp;H$9&amp;"]"),0)</f>
        <v>0</v>
      </c>
      <c r="I19" s="9">
        <f>IFERROR(GETPIVOTDATA("[Measures].[Suma de valor]",base!$A$3,"[IF].[departamento_jerarquia2]","[IF].[departamento_jerarquia2].&amp;["&amp;I$5&amp;"]","[IF].[grupo_analisis]","[IF].[grupo_analisis].&amp;["&amp;$B19&amp;"]","[IF].[mes]","[IF].[mes].&amp;["&amp;I$8&amp;"]","[IF].[ano]","[IF].[ano].&amp;["&amp;I$7&amp;"]","[IF].[informacion]","[IF].[informacion].&amp;["&amp;I$9&amp;"]"),0)</f>
        <v>814.17313666000007</v>
      </c>
      <c r="J19" s="9"/>
      <c r="K19" s="9"/>
      <c r="L19" s="12">
        <f t="shared" si="1"/>
        <v>814.17313666000007</v>
      </c>
      <c r="N19" s="12">
        <f t="shared" si="2"/>
        <v>814.17313666000007</v>
      </c>
    </row>
    <row r="20" spans="1:14" x14ac:dyDescent="0.25">
      <c r="B20" t="s">
        <v>121</v>
      </c>
      <c r="C20" s="9">
        <f>IFERROR(GETPIVOTDATA("[Measures].[Suma de valor]",base!$A$3,"[IF].[departamento_jerarquia2]","[IF].[departamento_jerarquia2].&amp;["&amp;C$5&amp;"]","[IF].[grupo_analisis]","[IF].[grupo_analisis].&amp;["&amp;$B20&amp;"]","[IF].[mes]","[IF].[mes].&amp;["&amp;C$8&amp;"]","[IF].[ano]","[IF].[ano].&amp;["&amp;C$7&amp;"]","[IF].[informacion]","[IF].[informacion].&amp;["&amp;C$9&amp;"]"),0)</f>
        <v>0</v>
      </c>
      <c r="D20" s="9">
        <f>IFERROR(GETPIVOTDATA("[Measures].[Suma de valor]",base!$A$3,"[IF].[departamento_jerarquia2]","[IF].[departamento_jerarquia2].&amp;["&amp;D$5&amp;"]","[IF].[grupo_analisis]","[IF].[grupo_analisis].&amp;["&amp;$B20&amp;"]","[IF].[mes]","[IF].[mes].&amp;["&amp;D$8&amp;"]","[IF].[ano]","[IF].[ano].&amp;["&amp;D$7&amp;"]","[IF].[informacion]","[IF].[informacion].&amp;["&amp;D$9&amp;"]"),0)-E20</f>
        <v>0</v>
      </c>
      <c r="E20" s="9">
        <f>IFERROR(GETPIVOTDATA("[Measures].[Suma de valor]",base!$AN$5,"[IF].[grupo_analisis]","[IF].[grupo_analisis].&amp;["&amp;$B20&amp;"]","[IF].[mes]","[IF].[mes].&amp;["&amp;E$8&amp;"]","[IF].[ano]","[IF].[ano].&amp;["&amp;E$7&amp;"]","[IF].[informacion]","[IF].[informacion].&amp;["&amp;E$9&amp;"]"),0)</f>
        <v>0</v>
      </c>
      <c r="F20" s="9">
        <f>IFERROR(GETPIVOTDATA("[Measures].[Suma de valor]",base!$A$3,"[IF].[departamento_jerarquia2]","[IF].[departamento_jerarquia2].&amp;["&amp;F$5&amp;"]","[IF].[grupo_analisis]","[IF].[grupo_analisis].&amp;["&amp;$B20&amp;"]","[IF].[mes]","[IF].[mes].&amp;["&amp;F$8&amp;"]","[IF].[ano]","[IF].[ano].&amp;["&amp;F$7&amp;"]","[IF].[informacion]","[IF].[informacion].&amp;["&amp;F$9&amp;"]"),0)</f>
        <v>0</v>
      </c>
      <c r="G20" s="9">
        <f>IFERROR(GETPIVOTDATA("[Measures].[Suma de valor]",base!$A$3,"[IF].[departamento_jerarquia2]","[IF].[departamento_jerarquia2].&amp;["&amp;G$5&amp;"]","[IF].[grupo_analisis]","[IF].[grupo_analisis].&amp;["&amp;$B20&amp;"]","[IF].[mes]","[IF].[mes].&amp;["&amp;G$8&amp;"]","[IF].[ano]","[IF].[ano].&amp;["&amp;G$7&amp;"]","[IF].[informacion]","[IF].[informacion].&amp;["&amp;G$9&amp;"]"),0)</f>
        <v>0</v>
      </c>
      <c r="H20" s="9">
        <f>IFERROR(GETPIVOTDATA("[Measures].[Suma de valor]",base!$A$3,"[IF].[departamento_jerarquia2]","[IF].[departamento_jerarquia2].&amp;["&amp;H$5&amp;"]","[IF].[grupo_analisis]","[IF].[grupo_analisis].&amp;["&amp;$B20&amp;"]","[IF].[mes]","[IF].[mes].&amp;["&amp;H$8&amp;"]","[IF].[ano]","[IF].[ano].&amp;["&amp;H$7&amp;"]","[IF].[informacion]","[IF].[informacion].&amp;["&amp;H$9&amp;"]"),0)</f>
        <v>0</v>
      </c>
      <c r="I20" s="9">
        <f>IFERROR(GETPIVOTDATA("[Measures].[Suma de valor]",base!$A$3,"[IF].[departamento_jerarquia2]","[IF].[departamento_jerarquia2].&amp;["&amp;I$5&amp;"]","[IF].[grupo_analisis]","[IF].[grupo_analisis].&amp;["&amp;$B20&amp;"]","[IF].[mes]","[IF].[mes].&amp;["&amp;I$8&amp;"]","[IF].[ano]","[IF].[ano].&amp;["&amp;I$7&amp;"]","[IF].[informacion]","[IF].[informacion].&amp;["&amp;I$9&amp;"]"),0)</f>
        <v>0</v>
      </c>
      <c r="J20" s="9"/>
      <c r="K20" s="9"/>
      <c r="L20" s="12">
        <f t="shared" si="1"/>
        <v>0</v>
      </c>
      <c r="N20" s="12">
        <f t="shared" si="2"/>
        <v>0</v>
      </c>
    </row>
    <row r="21" spans="1:14" collapsed="1" x14ac:dyDescent="0.25">
      <c r="B21" s="8" t="s">
        <v>113</v>
      </c>
      <c r="C21" s="10">
        <f t="shared" ref="C21:N21" si="3">SUM(C22:C37)</f>
        <v>0</v>
      </c>
      <c r="D21" s="10">
        <f t="shared" si="3"/>
        <v>0</v>
      </c>
      <c r="E21" s="10">
        <f t="shared" si="3"/>
        <v>0</v>
      </c>
      <c r="F21" s="10">
        <f t="shared" si="3"/>
        <v>0</v>
      </c>
      <c r="G21" s="10">
        <f t="shared" si="3"/>
        <v>0</v>
      </c>
      <c r="H21" s="10">
        <f t="shared" si="3"/>
        <v>0</v>
      </c>
      <c r="I21" s="10">
        <f t="shared" si="3"/>
        <v>37.094473000000001</v>
      </c>
      <c r="J21" s="10"/>
      <c r="K21" s="10"/>
      <c r="L21" s="13">
        <f t="shared" si="3"/>
        <v>37.094473000000001</v>
      </c>
      <c r="M21" s="8"/>
      <c r="N21" s="13">
        <f t="shared" si="3"/>
        <v>0</v>
      </c>
    </row>
    <row r="22" spans="1:14" hidden="1" outlineLevel="1" x14ac:dyDescent="0.25">
      <c r="A22" t="s">
        <v>132</v>
      </c>
      <c r="B22" t="s">
        <v>167</v>
      </c>
      <c r="C22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22&amp;"]"),0)</f>
        <v>0</v>
      </c>
      <c r="D22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22&amp;"]"),0)-E22</f>
        <v>0</v>
      </c>
      <c r="E22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valor]",base!$AW$5,"[IF].[mes]","[IF].[mes].&amp;["&amp;E$8&amp;"]","[IF].[ano]","[IF].[ano].&amp;["&amp;E$7&amp;"]","[IF].[informacion]","[IF].[informacion].&amp;["&amp;E$9&amp;"]","[IF].[cuenta_ppto]","[IF].[cuenta_ppto].&amp;["&amp;$A22&amp;"]"),0)</f>
        <v>0</v>
      </c>
      <c r="F22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22&amp;"]"),0)</f>
        <v>0</v>
      </c>
      <c r="G22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22&amp;"]"),0)</f>
        <v>0</v>
      </c>
      <c r="H22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22&amp;"]"),0)</f>
        <v>0</v>
      </c>
      <c r="I22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22&amp;"]"),0)</f>
        <v>0</v>
      </c>
      <c r="J22" s="11"/>
      <c r="K22" s="11"/>
      <c r="L22" s="123">
        <f t="shared" si="1"/>
        <v>0</v>
      </c>
      <c r="N22" s="11"/>
    </row>
    <row r="23" spans="1:14" hidden="1" outlineLevel="1" x14ac:dyDescent="0.25">
      <c r="A23" t="s">
        <v>133</v>
      </c>
      <c r="B23" t="s">
        <v>168</v>
      </c>
      <c r="C23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23&amp;"]"),0)</f>
        <v>0</v>
      </c>
      <c r="D23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23&amp;"]"),0)-E23</f>
        <v>0</v>
      </c>
      <c r="E23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valor]",base!$AW$5,"[IF].[mes]","[IF].[mes].&amp;["&amp;E$8&amp;"]","[IF].[ano]","[IF].[ano].&amp;["&amp;E$7&amp;"]","[IF].[informacion]","[IF].[informacion].&amp;["&amp;E$9&amp;"]","[IF].[cuenta_ppto]","[IF].[cuenta_ppto].&amp;["&amp;$A23&amp;"]"),0)</f>
        <v>0</v>
      </c>
      <c r="F23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23&amp;"]"),0)</f>
        <v>0</v>
      </c>
      <c r="G23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23&amp;"]"),0)</f>
        <v>0</v>
      </c>
      <c r="H23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23&amp;"]"),0)</f>
        <v>0</v>
      </c>
      <c r="I23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23&amp;"]"),0)</f>
        <v>37.094473000000001</v>
      </c>
      <c r="J23" s="11"/>
      <c r="K23" s="11"/>
      <c r="L23" s="124">
        <f t="shared" si="1"/>
        <v>37.094473000000001</v>
      </c>
      <c r="N23" s="11"/>
    </row>
    <row r="24" spans="1:14" hidden="1" outlineLevel="1" x14ac:dyDescent="0.25">
      <c r="A24" t="s">
        <v>134</v>
      </c>
      <c r="B24" t="s">
        <v>169</v>
      </c>
      <c r="C24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24&amp;"]"),0)</f>
        <v>0</v>
      </c>
      <c r="D24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24&amp;"]"),0)-E24</f>
        <v>0</v>
      </c>
      <c r="E24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valor]",base!$AW$5,"[IF].[mes]","[IF].[mes].&amp;["&amp;E$8&amp;"]","[IF].[ano]","[IF].[ano].&amp;["&amp;E$7&amp;"]","[IF].[informacion]","[IF].[informacion].&amp;["&amp;E$9&amp;"]","[IF].[cuenta_ppto]","[IF].[cuenta_ppto].&amp;["&amp;$A24&amp;"]"),0)</f>
        <v>0</v>
      </c>
      <c r="F24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24&amp;"]"),0)</f>
        <v>0</v>
      </c>
      <c r="G24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24&amp;"]"),0)</f>
        <v>0</v>
      </c>
      <c r="H24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24&amp;"]"),0)</f>
        <v>0</v>
      </c>
      <c r="I24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24&amp;"]"),0)</f>
        <v>0</v>
      </c>
      <c r="J24" s="11"/>
      <c r="K24" s="11"/>
      <c r="L24" s="11">
        <f t="shared" si="1"/>
        <v>0</v>
      </c>
      <c r="N24" s="11"/>
    </row>
    <row r="25" spans="1:14" hidden="1" outlineLevel="1" x14ac:dyDescent="0.25">
      <c r="A25" t="s">
        <v>135</v>
      </c>
      <c r="B25" t="s">
        <v>170</v>
      </c>
      <c r="C25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25&amp;"]"),0)</f>
        <v>0</v>
      </c>
      <c r="D25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25&amp;"]"),0)-E25</f>
        <v>0</v>
      </c>
      <c r="E25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valor]",base!$AW$5,"[IF].[mes]","[IF].[mes].&amp;["&amp;E$8&amp;"]","[IF].[ano]","[IF].[ano].&amp;["&amp;E$7&amp;"]","[IF].[informacion]","[IF].[informacion].&amp;["&amp;E$9&amp;"]","[IF].[cuenta_ppto]","[IF].[cuenta_ppto].&amp;["&amp;$A25&amp;"]"),0)</f>
        <v>0</v>
      </c>
      <c r="F25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25&amp;"]"),0)</f>
        <v>0</v>
      </c>
      <c r="G25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25&amp;"]"),0)</f>
        <v>0</v>
      </c>
      <c r="H25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25&amp;"]"),0)</f>
        <v>0</v>
      </c>
      <c r="I25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25&amp;"]"),0)</f>
        <v>0</v>
      </c>
      <c r="J25" s="11"/>
      <c r="K25" s="11"/>
      <c r="L25" s="11">
        <f t="shared" si="1"/>
        <v>0</v>
      </c>
      <c r="N25" s="11"/>
    </row>
    <row r="26" spans="1:14" hidden="1" outlineLevel="1" x14ac:dyDescent="0.25">
      <c r="A26" t="s">
        <v>136</v>
      </c>
      <c r="B26" t="s">
        <v>171</v>
      </c>
      <c r="C26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26&amp;"]"),0)</f>
        <v>0</v>
      </c>
      <c r="D26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26&amp;"]"),0)-E26</f>
        <v>0</v>
      </c>
      <c r="E26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valor]",base!$AW$5,"[IF].[mes]","[IF].[mes].&amp;["&amp;E$8&amp;"]","[IF].[ano]","[IF].[ano].&amp;["&amp;E$7&amp;"]","[IF].[informacion]","[IF].[informacion].&amp;["&amp;E$9&amp;"]","[IF].[cuenta_ppto]","[IF].[cuenta_ppto].&amp;["&amp;$A26&amp;"]"),0)</f>
        <v>0</v>
      </c>
      <c r="F26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26&amp;"]"),0)</f>
        <v>0</v>
      </c>
      <c r="G26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26&amp;"]"),0)</f>
        <v>0</v>
      </c>
      <c r="H26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26&amp;"]"),0)</f>
        <v>0</v>
      </c>
      <c r="I26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26&amp;"]"),0)</f>
        <v>0</v>
      </c>
      <c r="J26" s="11"/>
      <c r="K26" s="11"/>
      <c r="L26" s="11">
        <f t="shared" si="1"/>
        <v>0</v>
      </c>
      <c r="N26" s="11"/>
    </row>
    <row r="27" spans="1:14" hidden="1" outlineLevel="1" x14ac:dyDescent="0.25">
      <c r="A27" t="s">
        <v>137</v>
      </c>
      <c r="B27" t="s">
        <v>172</v>
      </c>
      <c r="C27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27&amp;"]"),0)</f>
        <v>0</v>
      </c>
      <c r="D27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27&amp;"]"),0)-E27</f>
        <v>0</v>
      </c>
      <c r="E27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valor]",base!$AW$5,"[IF].[mes]","[IF].[mes].&amp;["&amp;E$8&amp;"]","[IF].[ano]","[IF].[ano].&amp;["&amp;E$7&amp;"]","[IF].[informacion]","[IF].[informacion].&amp;["&amp;E$9&amp;"]","[IF].[cuenta_ppto]","[IF].[cuenta_ppto].&amp;["&amp;$A27&amp;"]"),0)</f>
        <v>0</v>
      </c>
      <c r="F27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27&amp;"]"),0)</f>
        <v>0</v>
      </c>
      <c r="G27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27&amp;"]"),0)</f>
        <v>0</v>
      </c>
      <c r="H27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27&amp;"]"),0)</f>
        <v>0</v>
      </c>
      <c r="I27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27&amp;"]"),0)</f>
        <v>0</v>
      </c>
      <c r="J27" s="11"/>
      <c r="K27" s="11"/>
      <c r="L27" s="11">
        <f t="shared" si="1"/>
        <v>0</v>
      </c>
      <c r="N27" s="11"/>
    </row>
    <row r="28" spans="1:14" hidden="1" outlineLevel="1" x14ac:dyDescent="0.25">
      <c r="A28" t="s">
        <v>138</v>
      </c>
      <c r="B28" t="s">
        <v>173</v>
      </c>
      <c r="C28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28&amp;"]"),0)</f>
        <v>0</v>
      </c>
      <c r="D28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28&amp;"]"),0)-E28</f>
        <v>0</v>
      </c>
      <c r="E28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valor]",base!$AW$5,"[IF].[mes]","[IF].[mes].&amp;["&amp;E$8&amp;"]","[IF].[ano]","[IF].[ano].&amp;["&amp;E$7&amp;"]","[IF].[informacion]","[IF].[informacion].&amp;["&amp;E$9&amp;"]","[IF].[cuenta_ppto]","[IF].[cuenta_ppto].&amp;["&amp;$A28&amp;"]"),0)</f>
        <v>0</v>
      </c>
      <c r="F28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28&amp;"]"),0)</f>
        <v>0</v>
      </c>
      <c r="G28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28&amp;"]"),0)</f>
        <v>0</v>
      </c>
      <c r="H28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28&amp;"]"),0)</f>
        <v>0</v>
      </c>
      <c r="I28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28&amp;"]"),0)</f>
        <v>0</v>
      </c>
      <c r="J28" s="11"/>
      <c r="K28" s="11"/>
      <c r="L28" s="11">
        <f t="shared" si="1"/>
        <v>0</v>
      </c>
      <c r="N28" s="11"/>
    </row>
    <row r="29" spans="1:14" hidden="1" outlineLevel="1" x14ac:dyDescent="0.25">
      <c r="A29" t="s">
        <v>139</v>
      </c>
      <c r="B29" t="s">
        <v>174</v>
      </c>
      <c r="C29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29&amp;"]"),0)</f>
        <v>0</v>
      </c>
      <c r="D29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29&amp;"]"),0)-E29</f>
        <v>0</v>
      </c>
      <c r="E29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valor]",base!$AW$5,"[IF].[mes]","[IF].[mes].&amp;["&amp;E$8&amp;"]","[IF].[ano]","[IF].[ano].&amp;["&amp;E$7&amp;"]","[IF].[informacion]","[IF].[informacion].&amp;["&amp;E$9&amp;"]","[IF].[cuenta_ppto]","[IF].[cuenta_ppto].&amp;["&amp;$A29&amp;"]"),0)</f>
        <v>0</v>
      </c>
      <c r="F29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29&amp;"]"),0)</f>
        <v>0</v>
      </c>
      <c r="G29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29&amp;"]"),0)</f>
        <v>0</v>
      </c>
      <c r="H29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29&amp;"]"),0)</f>
        <v>0</v>
      </c>
      <c r="I29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29&amp;"]"),0)</f>
        <v>0</v>
      </c>
      <c r="J29" s="11"/>
      <c r="K29" s="11"/>
      <c r="L29" s="11">
        <f t="shared" si="1"/>
        <v>0</v>
      </c>
      <c r="N29" s="11"/>
    </row>
    <row r="30" spans="1:14" hidden="1" outlineLevel="1" x14ac:dyDescent="0.25">
      <c r="A30" t="s">
        <v>140</v>
      </c>
      <c r="B30" t="s">
        <v>175</v>
      </c>
      <c r="C30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30&amp;"]"),0)</f>
        <v>0</v>
      </c>
      <c r="D30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30&amp;"]"),0)-E30</f>
        <v>0</v>
      </c>
      <c r="E30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valor]",base!$AW$5,"[IF].[mes]","[IF].[mes].&amp;["&amp;E$8&amp;"]","[IF].[ano]","[IF].[ano].&amp;["&amp;E$7&amp;"]","[IF].[informacion]","[IF].[informacion].&amp;["&amp;E$9&amp;"]","[IF].[cuenta_ppto]","[IF].[cuenta_ppto].&amp;["&amp;$A30&amp;"]"),0)</f>
        <v>0</v>
      </c>
      <c r="F30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30&amp;"]"),0)</f>
        <v>0</v>
      </c>
      <c r="G30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30&amp;"]"),0)</f>
        <v>0</v>
      </c>
      <c r="H30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30&amp;"]"),0)</f>
        <v>0</v>
      </c>
      <c r="I30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30&amp;"]"),0)</f>
        <v>0</v>
      </c>
      <c r="J30" s="11"/>
      <c r="K30" s="11"/>
      <c r="L30" s="11">
        <f t="shared" si="1"/>
        <v>0</v>
      </c>
      <c r="N30" s="11"/>
    </row>
    <row r="31" spans="1:14" hidden="1" outlineLevel="1" x14ac:dyDescent="0.25">
      <c r="A31" t="s">
        <v>141</v>
      </c>
      <c r="B31" t="s">
        <v>176</v>
      </c>
      <c r="C31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31&amp;"]"),0)</f>
        <v>0</v>
      </c>
      <c r="D31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31&amp;"]"),0)-E31</f>
        <v>0</v>
      </c>
      <c r="E31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valor]",base!$AW$5,"[IF].[mes]","[IF].[mes].&amp;["&amp;E$8&amp;"]","[IF].[ano]","[IF].[ano].&amp;["&amp;E$7&amp;"]","[IF].[informacion]","[IF].[informacion].&amp;["&amp;E$9&amp;"]","[IF].[cuenta_ppto]","[IF].[cuenta_ppto].&amp;["&amp;$A31&amp;"]"),0)</f>
        <v>0</v>
      </c>
      <c r="F31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31&amp;"]"),0)</f>
        <v>0</v>
      </c>
      <c r="G31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31&amp;"]"),0)</f>
        <v>0</v>
      </c>
      <c r="H31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31&amp;"]"),0)</f>
        <v>0</v>
      </c>
      <c r="I31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31&amp;"]"),0)</f>
        <v>0</v>
      </c>
      <c r="J31" s="11"/>
      <c r="K31" s="11"/>
      <c r="L31" s="11">
        <f t="shared" si="1"/>
        <v>0</v>
      </c>
      <c r="N31" s="11"/>
    </row>
    <row r="32" spans="1:14" hidden="1" outlineLevel="1" x14ac:dyDescent="0.25">
      <c r="A32" t="s">
        <v>142</v>
      </c>
      <c r="B32" t="s">
        <v>177</v>
      </c>
      <c r="C32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32&amp;"]"),0)</f>
        <v>0</v>
      </c>
      <c r="D32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32&amp;"]"),0)-E32</f>
        <v>0</v>
      </c>
      <c r="E32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valor]",base!$AW$5,"[IF].[mes]","[IF].[mes].&amp;["&amp;E$8&amp;"]","[IF].[ano]","[IF].[ano].&amp;["&amp;E$7&amp;"]","[IF].[informacion]","[IF].[informacion].&amp;["&amp;E$9&amp;"]","[IF].[cuenta_ppto]","[IF].[cuenta_ppto].&amp;["&amp;$A32&amp;"]"),0)</f>
        <v>0</v>
      </c>
      <c r="F32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32&amp;"]"),0)</f>
        <v>0</v>
      </c>
      <c r="G32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32&amp;"]"),0)</f>
        <v>0</v>
      </c>
      <c r="H32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32&amp;"]"),0)</f>
        <v>0</v>
      </c>
      <c r="I32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32&amp;"]"),0)</f>
        <v>0</v>
      </c>
      <c r="J32" s="11"/>
      <c r="K32" s="11"/>
      <c r="L32" s="11">
        <f t="shared" si="1"/>
        <v>0</v>
      </c>
      <c r="N32" s="11"/>
    </row>
    <row r="33" spans="1:14" hidden="1" outlineLevel="1" x14ac:dyDescent="0.25">
      <c r="A33" t="s">
        <v>143</v>
      </c>
      <c r="B33" t="s">
        <v>178</v>
      </c>
      <c r="C33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33&amp;"]"),0)</f>
        <v>0</v>
      </c>
      <c r="D33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33&amp;"]"),0)-E33</f>
        <v>0</v>
      </c>
      <c r="E33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valor]",base!$AW$5,"[IF].[mes]","[IF].[mes].&amp;["&amp;E$8&amp;"]","[IF].[ano]","[IF].[ano].&amp;["&amp;E$7&amp;"]","[IF].[informacion]","[IF].[informacion].&amp;["&amp;E$9&amp;"]","[IF].[cuenta_ppto]","[IF].[cuenta_ppto].&amp;["&amp;$A33&amp;"]"),0)</f>
        <v>0</v>
      </c>
      <c r="F33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33&amp;"]"),0)</f>
        <v>0</v>
      </c>
      <c r="G33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33&amp;"]"),0)</f>
        <v>0</v>
      </c>
      <c r="H33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33&amp;"]"),0)</f>
        <v>0</v>
      </c>
      <c r="I33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33&amp;"]"),0)</f>
        <v>0</v>
      </c>
      <c r="J33" s="11"/>
      <c r="K33" s="11"/>
      <c r="L33" s="11">
        <f t="shared" si="1"/>
        <v>0</v>
      </c>
      <c r="N33" s="11"/>
    </row>
    <row r="34" spans="1:14" hidden="1" outlineLevel="1" x14ac:dyDescent="0.25">
      <c r="A34" t="s">
        <v>144</v>
      </c>
      <c r="B34" t="s">
        <v>179</v>
      </c>
      <c r="C34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34&amp;"]"),0)</f>
        <v>0</v>
      </c>
      <c r="D34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34&amp;"]"),0)-E34</f>
        <v>0</v>
      </c>
      <c r="E34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valor]",base!$AW$5,"[IF].[mes]","[IF].[mes].&amp;["&amp;E$8&amp;"]","[IF].[ano]","[IF].[ano].&amp;["&amp;E$7&amp;"]","[IF].[informacion]","[IF].[informacion].&amp;["&amp;E$9&amp;"]","[IF].[cuenta_ppto]","[IF].[cuenta_ppto].&amp;["&amp;$A34&amp;"]"),0)</f>
        <v>0</v>
      </c>
      <c r="F34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34&amp;"]"),0)</f>
        <v>0</v>
      </c>
      <c r="G34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34&amp;"]"),0)</f>
        <v>0</v>
      </c>
      <c r="H34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34&amp;"]"),0)</f>
        <v>0</v>
      </c>
      <c r="I34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34&amp;"]"),0)</f>
        <v>0</v>
      </c>
      <c r="J34" s="11"/>
      <c r="K34" s="11"/>
      <c r="L34" s="11">
        <f t="shared" si="1"/>
        <v>0</v>
      </c>
      <c r="N34" s="11"/>
    </row>
    <row r="35" spans="1:14" hidden="1" outlineLevel="1" x14ac:dyDescent="0.25">
      <c r="A35" t="s">
        <v>145</v>
      </c>
      <c r="B35" t="s">
        <v>180</v>
      </c>
      <c r="C35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35&amp;"]"),0)</f>
        <v>0</v>
      </c>
      <c r="D35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35&amp;"]"),0)-E35</f>
        <v>0</v>
      </c>
      <c r="E35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valor]",base!$AW$5,"[IF].[mes]","[IF].[mes].&amp;["&amp;E$8&amp;"]","[IF].[ano]","[IF].[ano].&amp;["&amp;E$7&amp;"]","[IF].[informacion]","[IF].[informacion].&amp;["&amp;E$9&amp;"]","[IF].[cuenta_ppto]","[IF].[cuenta_ppto].&amp;["&amp;$A35&amp;"]"),0)</f>
        <v>0</v>
      </c>
      <c r="F35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35&amp;"]"),0)</f>
        <v>0</v>
      </c>
      <c r="G35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35&amp;"]"),0)</f>
        <v>0</v>
      </c>
      <c r="H35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35&amp;"]"),0)</f>
        <v>0</v>
      </c>
      <c r="I35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35&amp;"]"),0)</f>
        <v>0</v>
      </c>
      <c r="J35" s="11"/>
      <c r="K35" s="11"/>
      <c r="L35" s="124">
        <f t="shared" ref="L35:L36" si="4">SUM(C35:K35)</f>
        <v>0</v>
      </c>
      <c r="N35" s="11"/>
    </row>
    <row r="36" spans="1:14" hidden="1" outlineLevel="1" x14ac:dyDescent="0.25">
      <c r="A36" t="s">
        <v>359</v>
      </c>
      <c r="B36" t="s">
        <v>361</v>
      </c>
      <c r="C36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36&amp;"]"),0)</f>
        <v>0</v>
      </c>
      <c r="D36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36&amp;"]"),0)-E36</f>
        <v>0</v>
      </c>
      <c r="E36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valor]",base!$AW$5,"[IF].[mes]","[IF].[mes].&amp;["&amp;E$8&amp;"]","[IF].[ano]","[IF].[ano].&amp;["&amp;E$7&amp;"]","[IF].[informacion]","[IF].[informacion].&amp;["&amp;E$9&amp;"]","[IF].[cuenta_ppto]","[IF].[cuenta_ppto].&amp;["&amp;$A36&amp;"]"),0)</f>
        <v>0</v>
      </c>
      <c r="F36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36&amp;"]"),0)</f>
        <v>0</v>
      </c>
      <c r="G36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36&amp;"]"),0)</f>
        <v>0</v>
      </c>
      <c r="H36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36&amp;"]"),0)</f>
        <v>0</v>
      </c>
      <c r="I36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36&amp;"]"),0)</f>
        <v>0</v>
      </c>
      <c r="J36" s="11"/>
      <c r="K36" s="11"/>
      <c r="L36" s="124">
        <f t="shared" si="4"/>
        <v>0</v>
      </c>
      <c r="N36" s="11"/>
    </row>
    <row r="37" spans="1:14" hidden="1" outlineLevel="1" x14ac:dyDescent="0.25">
      <c r="A37" t="s">
        <v>360</v>
      </c>
      <c r="B37" t="s">
        <v>362</v>
      </c>
      <c r="C37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37&amp;"]"),0)</f>
        <v>0</v>
      </c>
      <c r="D37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37&amp;"]"),0)-E37</f>
        <v>0</v>
      </c>
      <c r="E37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valor]",base!$AW$5,"[IF].[mes]","[IF].[mes].&amp;["&amp;E$8&amp;"]","[IF].[ano]","[IF].[ano].&amp;["&amp;E$7&amp;"]","[IF].[informacion]","[IF].[informacion].&amp;["&amp;E$9&amp;"]","[IF].[cuenta_ppto]","[IF].[cuenta_ppto].&amp;["&amp;$A37&amp;"]"),0)</f>
        <v>0</v>
      </c>
      <c r="F37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37&amp;"]"),0)</f>
        <v>0</v>
      </c>
      <c r="G37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37&amp;"]"),0)</f>
        <v>0</v>
      </c>
      <c r="H37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37&amp;"]"),0)</f>
        <v>0</v>
      </c>
      <c r="I37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37&amp;"]"),0)</f>
        <v>0</v>
      </c>
      <c r="J37" s="11"/>
      <c r="K37" s="11"/>
      <c r="L37" s="124">
        <f t="shared" si="1"/>
        <v>0</v>
      </c>
      <c r="N37" s="11">
        <f>+L37</f>
        <v>0</v>
      </c>
    </row>
    <row r="38" spans="1:14" x14ac:dyDescent="0.25">
      <c r="B38" t="s">
        <v>100</v>
      </c>
      <c r="C38" s="9">
        <f>IFERROR(GETPIVOTDATA("[Measures].[Suma de valor]",base!$A$3,"[IF].[departamento_jerarquia2]","[IF].[departamento_jerarquia2].&amp;["&amp;C$5&amp;"]","[IF].[grupo_analisis]","[IF].[grupo_analisis].&amp;["&amp;$B38&amp;"]","[IF].[mes]","[IF].[mes].&amp;["&amp;C$8&amp;"]","[IF].[ano]","[IF].[ano].&amp;["&amp;C$7&amp;"]","[IF].[informacion]","[IF].[informacion].&amp;["&amp;C$9&amp;"]"),0)</f>
        <v>0</v>
      </c>
      <c r="D38" s="9">
        <f>IFERROR(GETPIVOTDATA("[Measures].[Suma de valor]",base!$A$3,"[IF].[departamento_jerarquia2]","[IF].[departamento_jerarquia2].&amp;["&amp;D$5&amp;"]","[IF].[grupo_analisis]","[IF].[grupo_analisis].&amp;["&amp;$B38&amp;"]","[IF].[mes]","[IF].[mes].&amp;["&amp;D$8&amp;"]","[IF].[ano]","[IF].[ano].&amp;["&amp;D$7&amp;"]","[IF].[informacion]","[IF].[informacion].&amp;["&amp;D$9&amp;"]"),0)-E38</f>
        <v>-14.030712999999992</v>
      </c>
      <c r="E38" s="9">
        <f>IFERROR(GETPIVOTDATA("[Measures].[Suma de valor]",base!$AN$5,"[IF].[grupo_analisis]","[IF].[grupo_analisis].&amp;["&amp;$B38&amp;"]","[IF].[mes]","[IF].[mes].&amp;["&amp;E$8&amp;"]","[IF].[ano]","[IF].[ano].&amp;["&amp;E$7&amp;"]","[IF].[informacion]","[IF].[informacion].&amp;["&amp;E$9&amp;"]"),0)</f>
        <v>-132.69709</v>
      </c>
      <c r="F38" s="9">
        <f>IFERROR(GETPIVOTDATA("[Measures].[Suma de valor]",base!$A$3,"[IF].[departamento_jerarquia2]","[IF].[departamento_jerarquia2].&amp;["&amp;F$5&amp;"]","[IF].[grupo_analisis]","[IF].[grupo_analisis].&amp;["&amp;$B38&amp;"]","[IF].[mes]","[IF].[mes].&amp;["&amp;F$8&amp;"]","[IF].[ano]","[IF].[ano].&amp;["&amp;F$7&amp;"]","[IF].[informacion]","[IF].[informacion].&amp;["&amp;F$9&amp;"]"),0)</f>
        <v>0</v>
      </c>
      <c r="G38" s="9">
        <f>IFERROR(GETPIVOTDATA("[Measures].[Suma de valor]",base!$A$3,"[IF].[departamento_jerarquia2]","[IF].[departamento_jerarquia2].&amp;["&amp;G$5&amp;"]","[IF].[grupo_analisis]","[IF].[grupo_analisis].&amp;["&amp;$B38&amp;"]","[IF].[mes]","[IF].[mes].&amp;["&amp;G$8&amp;"]","[IF].[ano]","[IF].[ano].&amp;["&amp;G$7&amp;"]","[IF].[informacion]","[IF].[informacion].&amp;["&amp;G$9&amp;"]"),0)</f>
        <v>0</v>
      </c>
      <c r="H38" s="9">
        <f>IFERROR(GETPIVOTDATA("[Measures].[Suma de valor]",base!$A$3,"[IF].[departamento_jerarquia2]","[IF].[departamento_jerarquia2].&amp;["&amp;H$5&amp;"]","[IF].[grupo_analisis]","[IF].[grupo_analisis].&amp;["&amp;$B38&amp;"]","[IF].[mes]","[IF].[mes].&amp;["&amp;H$8&amp;"]","[IF].[ano]","[IF].[ano].&amp;["&amp;H$7&amp;"]","[IF].[informacion]","[IF].[informacion].&amp;["&amp;H$9&amp;"]"),0)</f>
        <v>0</v>
      </c>
      <c r="I38" s="9">
        <f>IFERROR(GETPIVOTDATA("[Measures].[Suma de valor]",base!$A$3,"[IF].[departamento_jerarquia2]","[IF].[departamento_jerarquia2].&amp;["&amp;I$5&amp;"]","[IF].[grupo_analisis]","[IF].[grupo_analisis].&amp;["&amp;$B38&amp;"]","[IF].[mes]","[IF].[mes].&amp;["&amp;I$8&amp;"]","[IF].[ano]","[IF].[ano].&amp;["&amp;I$7&amp;"]","[IF].[informacion]","[IF].[informacion].&amp;["&amp;I$9&amp;"]"),0)</f>
        <v>-31.258749999999999</v>
      </c>
      <c r="J38" s="9"/>
      <c r="K38" s="9"/>
      <c r="L38" s="12">
        <f t="shared" si="1"/>
        <v>-177.98655299999999</v>
      </c>
      <c r="N38" s="12">
        <f t="shared" ref="N38" si="5">L38</f>
        <v>-177.98655299999999</v>
      </c>
    </row>
    <row r="39" spans="1:14" x14ac:dyDescent="0.25">
      <c r="B39" s="14" t="s">
        <v>203</v>
      </c>
      <c r="C39" s="15">
        <f t="shared" ref="C39:L39" si="6">SUM(C13:C21,C38)</f>
        <v>0</v>
      </c>
      <c r="D39" s="15">
        <f t="shared" si="6"/>
        <v>128.06930500000001</v>
      </c>
      <c r="E39" s="15">
        <f t="shared" si="6"/>
        <v>1019.913316</v>
      </c>
      <c r="F39" s="15">
        <f t="shared" si="6"/>
        <v>0</v>
      </c>
      <c r="G39" s="15">
        <f t="shared" si="6"/>
        <v>0</v>
      </c>
      <c r="H39" s="15">
        <f t="shared" si="6"/>
        <v>0</v>
      </c>
      <c r="I39" s="15">
        <f t="shared" si="6"/>
        <v>901.79300966000017</v>
      </c>
      <c r="J39" s="15"/>
      <c r="K39" s="15"/>
      <c r="L39" s="16">
        <f t="shared" si="6"/>
        <v>2049.7756306599999</v>
      </c>
      <c r="N39" s="16">
        <f>SUM(N13:N21,N38)</f>
        <v>2012.6811576600001</v>
      </c>
    </row>
    <row r="40" spans="1:14" x14ac:dyDescent="0.25">
      <c r="L40" s="3">
        <f>+L35+L22</f>
        <v>0</v>
      </c>
      <c r="M40" s="3">
        <f>+L40-'A-0'!DG22-'A-0'!DG35</f>
        <v>0</v>
      </c>
    </row>
    <row r="41" spans="1:14" x14ac:dyDescent="0.25">
      <c r="B41" t="s">
        <v>106</v>
      </c>
      <c r="C41" s="9">
        <f>IFERROR(GETPIVOTDATA("[Measures].[Suma de valor]",base!$A$3,"[IF].[departamento_jerarquia2]","[IF].[departamento_jerarquia2].&amp;["&amp;C$5&amp;"]","[IF].[grupo_analisis]","[IF].[grupo_analisis].&amp;["&amp;$B41&amp;"]","[IF].[mes]","[IF].[mes].&amp;["&amp;C$8&amp;"]","[IF].[ano]","[IF].[ano].&amp;["&amp;C$7&amp;"]","[IF].[informacion]","[IF].[informacion].&amp;["&amp;C$9&amp;"]"),0)</f>
        <v>0</v>
      </c>
      <c r="D41" s="9">
        <f>IFERROR(GETPIVOTDATA("[Measures].[Suma de valor]",base!$A$3,"[IF].[departamento_jerarquia2]","[IF].[departamento_jerarquia2].&amp;["&amp;D$5&amp;"]","[IF].[grupo_analisis]","[IF].[grupo_analisis].&amp;["&amp;$B41&amp;"]","[IF].[mes]","[IF].[mes].&amp;["&amp;D$8&amp;"]","[IF].[ano]","[IF].[ano].&amp;["&amp;D$7&amp;"]","[IF].[informacion]","[IF].[informacion].&amp;["&amp;D$9&amp;"]"),0)-E41</f>
        <v>10.106090999999992</v>
      </c>
      <c r="E41" s="9">
        <f>IFERROR(GETPIVOTDATA("[Measures].[Suma de valor]",base!$AN$5,"[IF].[grupo_analisis]","[IF].[grupo_analisis].&amp;["&amp;$B41&amp;"]","[IF].[mes]","[IF].[mes].&amp;["&amp;E$8&amp;"]","[IF].[ano]","[IF].[ano].&amp;["&amp;E$7&amp;"]","[IF].[informacion]","[IF].[informacion].&amp;["&amp;E$9&amp;"]"),0)</f>
        <v>64.982902999999993</v>
      </c>
      <c r="F41" s="9">
        <f>IFERROR(GETPIVOTDATA("[Measures].[Suma de valor]",base!$A$3,"[IF].[departamento_jerarquia2]","[IF].[departamento_jerarquia2].&amp;["&amp;F$5&amp;"]","[IF].[grupo_analisis]","[IF].[grupo_analisis].&amp;["&amp;$B41&amp;"]","[IF].[mes]","[IF].[mes].&amp;["&amp;F$8&amp;"]","[IF].[ano]","[IF].[ano].&amp;["&amp;F$7&amp;"]","[IF].[informacion]","[IF].[informacion].&amp;["&amp;F$9&amp;"]"),0)</f>
        <v>0</v>
      </c>
      <c r="G41" s="9">
        <f>IFERROR(GETPIVOTDATA("[Measures].[Suma de valor]",base!$A$3,"[IF].[departamento_jerarquia2]","[IF].[departamento_jerarquia2].&amp;["&amp;G$5&amp;"]","[IF].[grupo_analisis]","[IF].[grupo_analisis].&amp;["&amp;$B41&amp;"]","[IF].[mes]","[IF].[mes].&amp;["&amp;G$8&amp;"]","[IF].[ano]","[IF].[ano].&amp;["&amp;G$7&amp;"]","[IF].[informacion]","[IF].[informacion].&amp;["&amp;G$9&amp;"]"),0)</f>
        <v>0</v>
      </c>
      <c r="H41" s="9">
        <f>IFERROR(GETPIVOTDATA("[Measures].[Suma de valor]",base!$A$3,"[IF].[departamento_jerarquia2]","[IF].[departamento_jerarquia2].&amp;["&amp;H$5&amp;"]","[IF].[grupo_analisis]","[IF].[grupo_analisis].&amp;["&amp;$B41&amp;"]","[IF].[mes]","[IF].[mes].&amp;["&amp;H$8&amp;"]","[IF].[ano]","[IF].[ano].&amp;["&amp;H$7&amp;"]","[IF].[informacion]","[IF].[informacion].&amp;["&amp;H$9&amp;"]"),0)</f>
        <v>0</v>
      </c>
      <c r="I41" s="9">
        <f>IFERROR(GETPIVOTDATA("[Measures].[Suma de valor]",base!$A$3,"[IF].[departamento_jerarquia2]","[IF].[departamento_jerarquia2].&amp;["&amp;I$5&amp;"]","[IF].[grupo_analisis]","[IF].[grupo_analisis].&amp;["&amp;$B41&amp;"]","[IF].[mes]","[IF].[mes].&amp;["&amp;I$8&amp;"]","[IF].[ano]","[IF].[ano].&amp;["&amp;I$7&amp;"]","[IF].[informacion]","[IF].[informacion].&amp;["&amp;I$9&amp;"]"),0)</f>
        <v>377.23546305000002</v>
      </c>
      <c r="J41" s="9"/>
      <c r="K41" s="9"/>
      <c r="L41" s="12">
        <f t="shared" ref="L41:L46" si="7">SUM(C41:K41)</f>
        <v>452.32445704999998</v>
      </c>
      <c r="N41" s="12">
        <f t="shared" ref="N41:N46" si="8">L41</f>
        <v>452.32445704999998</v>
      </c>
    </row>
    <row r="42" spans="1:14" x14ac:dyDescent="0.25">
      <c r="B42" t="s">
        <v>111</v>
      </c>
      <c r="C42" s="9">
        <f>IFERROR(GETPIVOTDATA("[Measures].[Suma de valor]",base!$A$3,"[IF].[departamento_jerarquia2]","[IF].[departamento_jerarquia2].&amp;["&amp;C$5&amp;"]","[IF].[grupo_analisis]","[IF].[grupo_analisis].&amp;["&amp;$B42&amp;"]","[IF].[mes]","[IF].[mes].&amp;["&amp;C$8&amp;"]","[IF].[ano]","[IF].[ano].&amp;["&amp;C$7&amp;"]","[IF].[informacion]","[IF].[informacion].&amp;["&amp;C$9&amp;"]"),0)</f>
        <v>0</v>
      </c>
      <c r="D42" s="9">
        <f>IFERROR(GETPIVOTDATA("[Measures].[Suma de valor]",base!$A$3,"[IF].[departamento_jerarquia2]","[IF].[departamento_jerarquia2].&amp;["&amp;D$5&amp;"]","[IF].[grupo_analisis]","[IF].[grupo_analisis].&amp;["&amp;$B42&amp;"]","[IF].[mes]","[IF].[mes].&amp;["&amp;D$8&amp;"]","[IF].[ano]","[IF].[ano].&amp;["&amp;D$7&amp;"]","[IF].[informacion]","[IF].[informacion].&amp;["&amp;D$9&amp;"]"),0)-E42</f>
        <v>7.5269999999999868</v>
      </c>
      <c r="E42" s="9">
        <f>IFERROR(GETPIVOTDATA("[Measures].[Suma de valor]",base!$AN$5,"[IF].[grupo_analisis]","[IF].[grupo_analisis].&amp;["&amp;$B42&amp;"]","[IF].[mes]","[IF].[mes].&amp;["&amp;E$8&amp;"]","[IF].[ano]","[IF].[ano].&amp;["&amp;E$7&amp;"]","[IF].[informacion]","[IF].[informacion].&amp;["&amp;E$9&amp;"]"),0)</f>
        <v>145.50963302</v>
      </c>
      <c r="F42" s="9">
        <f>IFERROR(GETPIVOTDATA("[Measures].[Suma de valor]",base!$A$3,"[IF].[departamento_jerarquia2]","[IF].[departamento_jerarquia2].&amp;["&amp;F$5&amp;"]","[IF].[grupo_analisis]","[IF].[grupo_analisis].&amp;["&amp;$B42&amp;"]","[IF].[mes]","[IF].[mes].&amp;["&amp;F$8&amp;"]","[IF].[ano]","[IF].[ano].&amp;["&amp;F$7&amp;"]","[IF].[informacion]","[IF].[informacion].&amp;["&amp;F$9&amp;"]"),0)</f>
        <v>0</v>
      </c>
      <c r="G42" s="9">
        <f>IFERROR(GETPIVOTDATA("[Measures].[Suma de valor]",base!$A$3,"[IF].[departamento_jerarquia2]","[IF].[departamento_jerarquia2].&amp;["&amp;G$5&amp;"]","[IF].[grupo_analisis]","[IF].[grupo_analisis].&amp;["&amp;$B42&amp;"]","[IF].[mes]","[IF].[mes].&amp;["&amp;G$8&amp;"]","[IF].[ano]","[IF].[ano].&amp;["&amp;G$7&amp;"]","[IF].[informacion]","[IF].[informacion].&amp;["&amp;G$9&amp;"]"),0)</f>
        <v>0</v>
      </c>
      <c r="H42" s="9">
        <f>IFERROR(GETPIVOTDATA("[Measures].[Suma de valor]",base!$A$3,"[IF].[departamento_jerarquia2]","[IF].[departamento_jerarquia2].&amp;["&amp;H$5&amp;"]","[IF].[grupo_analisis]","[IF].[grupo_analisis].&amp;["&amp;$B42&amp;"]","[IF].[mes]","[IF].[mes].&amp;["&amp;H$8&amp;"]","[IF].[ano]","[IF].[ano].&amp;["&amp;H$7&amp;"]","[IF].[informacion]","[IF].[informacion].&amp;["&amp;H$9&amp;"]"),0)</f>
        <v>0</v>
      </c>
      <c r="I42" s="9">
        <f>IFERROR(GETPIVOTDATA("[Measures].[Suma de valor]",base!$A$3,"[IF].[departamento_jerarquia2]","[IF].[departamento_jerarquia2].&amp;["&amp;I$5&amp;"]","[IF].[grupo_analisis]","[IF].[grupo_analisis].&amp;["&amp;$B42&amp;"]","[IF].[mes]","[IF].[mes].&amp;["&amp;I$8&amp;"]","[IF].[ano]","[IF].[ano].&amp;["&amp;I$7&amp;"]","[IF].[informacion]","[IF].[informacion].&amp;["&amp;I$9&amp;"]"),0)</f>
        <v>66.064103020000005</v>
      </c>
      <c r="J42" s="9"/>
      <c r="K42" s="9"/>
      <c r="L42" s="12">
        <f t="shared" si="7"/>
        <v>219.10073603999999</v>
      </c>
      <c r="N42" s="12">
        <f t="shared" si="8"/>
        <v>219.10073603999999</v>
      </c>
    </row>
    <row r="43" spans="1:14" x14ac:dyDescent="0.25">
      <c r="B43" t="s">
        <v>108</v>
      </c>
      <c r="C43" s="9">
        <f>IFERROR(GETPIVOTDATA("[Measures].[Suma de valor]",base!$A$3,"[IF].[departamento_jerarquia2]","[IF].[departamento_jerarquia2].&amp;["&amp;C$5&amp;"]","[IF].[grupo_analisis]","[IF].[grupo_analisis].&amp;["&amp;$B43&amp;"]","[IF].[mes]","[IF].[mes].&amp;["&amp;C$8&amp;"]","[IF].[ano]","[IF].[ano].&amp;["&amp;C$7&amp;"]","[IF].[informacion]","[IF].[informacion].&amp;["&amp;C$9&amp;"]"),0)</f>
        <v>0</v>
      </c>
      <c r="D43" s="9">
        <f>IFERROR(GETPIVOTDATA("[Measures].[Suma de valor]",base!$A$3,"[IF].[departamento_jerarquia2]","[IF].[departamento_jerarquia2].&amp;["&amp;D$5&amp;"]","[IF].[grupo_analisis]","[IF].[grupo_analisis].&amp;["&amp;$B43&amp;"]","[IF].[mes]","[IF].[mes].&amp;["&amp;D$8&amp;"]","[IF].[ano]","[IF].[ano].&amp;["&amp;D$7&amp;"]","[IF].[informacion]","[IF].[informacion].&amp;["&amp;D$9&amp;"]"),0)-E43</f>
        <v>8.5000000000001741E-5</v>
      </c>
      <c r="E43" s="9">
        <f>IFERROR(GETPIVOTDATA("[Measures].[Suma de valor]",base!$AN$5,"[IF].[grupo_analisis]","[IF].[grupo_analisis].&amp;["&amp;$B43&amp;"]","[IF].[mes]","[IF].[mes].&amp;["&amp;E$8&amp;"]","[IF].[ano]","[IF].[ano].&amp;["&amp;E$7&amp;"]","[IF].[informacion]","[IF].[informacion].&amp;["&amp;E$9&amp;"]"),0)</f>
        <v>0.64702333999999995</v>
      </c>
      <c r="F43" s="9">
        <f>IFERROR(GETPIVOTDATA("[Measures].[Suma de valor]",base!$A$3,"[IF].[departamento_jerarquia2]","[IF].[departamento_jerarquia2].&amp;["&amp;F$5&amp;"]","[IF].[grupo_analisis]","[IF].[grupo_analisis].&amp;["&amp;$B43&amp;"]","[IF].[mes]","[IF].[mes].&amp;["&amp;F$8&amp;"]","[IF].[ano]","[IF].[ano].&amp;["&amp;F$7&amp;"]","[IF].[informacion]","[IF].[informacion].&amp;["&amp;F$9&amp;"]"),0)</f>
        <v>0</v>
      </c>
      <c r="G43" s="9">
        <f>IFERROR(GETPIVOTDATA("[Measures].[Suma de valor]",base!$A$3,"[IF].[departamento_jerarquia2]","[IF].[departamento_jerarquia2].&amp;["&amp;G$5&amp;"]","[IF].[grupo_analisis]","[IF].[grupo_analisis].&amp;["&amp;$B43&amp;"]","[IF].[mes]","[IF].[mes].&amp;["&amp;G$8&amp;"]","[IF].[ano]","[IF].[ano].&amp;["&amp;G$7&amp;"]","[IF].[informacion]","[IF].[informacion].&amp;["&amp;G$9&amp;"]"),0)</f>
        <v>0</v>
      </c>
      <c r="H43" s="9">
        <f>IFERROR(GETPIVOTDATA("[Measures].[Suma de valor]",base!$A$3,"[IF].[departamento_jerarquia2]","[IF].[departamento_jerarquia2].&amp;["&amp;H$5&amp;"]","[IF].[grupo_analisis]","[IF].[grupo_analisis].&amp;["&amp;$B43&amp;"]","[IF].[mes]","[IF].[mes].&amp;["&amp;H$8&amp;"]","[IF].[ano]","[IF].[ano].&amp;["&amp;H$7&amp;"]","[IF].[informacion]","[IF].[informacion].&amp;["&amp;H$9&amp;"]"),0)</f>
        <v>0</v>
      </c>
      <c r="I43" s="9">
        <f>IFERROR(GETPIVOTDATA("[Measures].[Suma de valor]",base!$A$3,"[IF].[departamento_jerarquia2]","[IF].[departamento_jerarquia2].&amp;["&amp;I$5&amp;"]","[IF].[grupo_analisis]","[IF].[grupo_analisis].&amp;["&amp;$B43&amp;"]","[IF].[mes]","[IF].[mes].&amp;["&amp;I$8&amp;"]","[IF].[ano]","[IF].[ano].&amp;["&amp;I$7&amp;"]","[IF].[informacion]","[IF].[informacion].&amp;["&amp;I$9&amp;"]"),0)</f>
        <v>58.221661730000008</v>
      </c>
      <c r="J43" s="9"/>
      <c r="K43" s="9"/>
      <c r="L43" s="12">
        <f t="shared" si="7"/>
        <v>58.868770070000011</v>
      </c>
      <c r="N43" s="12">
        <f t="shared" si="8"/>
        <v>58.868770070000011</v>
      </c>
    </row>
    <row r="44" spans="1:14" x14ac:dyDescent="0.25">
      <c r="B44" t="s">
        <v>315</v>
      </c>
      <c r="C44" s="9">
        <f>IFERROR(GETPIVOTDATA("[Measures].[Suma de valor]",base!$A$3,"[IF].[departamento_jerarquia2]","[IF].[departamento_jerarquia2].&amp;["&amp;C$5&amp;"]","[IF].[grupo_analisis]","[IF].[grupo_analisis].&amp;["&amp;$B44&amp;"]","[IF].[mes]","[IF].[mes].&amp;["&amp;C$8&amp;"]","[IF].[ano]","[IF].[ano].&amp;["&amp;C$7&amp;"]","[IF].[informacion]","[IF].[informacion].&amp;["&amp;C$9&amp;"]"),0)</f>
        <v>0</v>
      </c>
      <c r="D44" s="9">
        <f>IFERROR(GETPIVOTDATA("[Measures].[Suma de valor]",base!$A$3,"[IF].[departamento_jerarquia2]","[IF].[departamento_jerarquia2].&amp;["&amp;D$5&amp;"]","[IF].[grupo_analisis]","[IF].[grupo_analisis].&amp;["&amp;$B44&amp;"]","[IF].[mes]","[IF].[mes].&amp;["&amp;D$8&amp;"]","[IF].[ano]","[IF].[ano].&amp;["&amp;D$7&amp;"]","[IF].[informacion]","[IF].[informacion].&amp;["&amp;D$9&amp;"]"),0)-E44</f>
        <v>0</v>
      </c>
      <c r="E44" s="9">
        <f>IFERROR(GETPIVOTDATA("[Measures].[Suma de valor]",base!$AN$5,"[IF].[grupo_analisis]","[IF].[grupo_analisis].&amp;["&amp;$B44&amp;"]","[IF].[mes]","[IF].[mes].&amp;["&amp;E$8&amp;"]","[IF].[ano]","[IF].[ano].&amp;["&amp;E$7&amp;"]","[IF].[informacion]","[IF].[informacion].&amp;["&amp;E$9&amp;"]"),0)</f>
        <v>0</v>
      </c>
      <c r="F44" s="9">
        <f>IFERROR(GETPIVOTDATA("[Measures].[Suma de valor]",base!$A$3,"[IF].[departamento_jerarquia2]","[IF].[departamento_jerarquia2].&amp;["&amp;F$5&amp;"]","[IF].[grupo_analisis]","[IF].[grupo_analisis].&amp;["&amp;$B44&amp;"]","[IF].[mes]","[IF].[mes].&amp;["&amp;F$8&amp;"]","[IF].[ano]","[IF].[ano].&amp;["&amp;F$7&amp;"]","[IF].[informacion]","[IF].[informacion].&amp;["&amp;F$9&amp;"]"),0)</f>
        <v>0</v>
      </c>
      <c r="G44" s="9">
        <f>IFERROR(GETPIVOTDATA("[Measures].[Suma de valor]",base!$A$3,"[IF].[departamento_jerarquia2]","[IF].[departamento_jerarquia2].&amp;["&amp;G$5&amp;"]","[IF].[grupo_analisis]","[IF].[grupo_analisis].&amp;["&amp;$B44&amp;"]","[IF].[mes]","[IF].[mes].&amp;["&amp;G$8&amp;"]","[IF].[ano]","[IF].[ano].&amp;["&amp;G$7&amp;"]","[IF].[informacion]","[IF].[informacion].&amp;["&amp;G$9&amp;"]"),0)</f>
        <v>0</v>
      </c>
      <c r="H44" s="9">
        <f>IFERROR(GETPIVOTDATA("[Measures].[Suma de valor]",base!$A$3,"[IF].[departamento_jerarquia2]","[IF].[departamento_jerarquia2].&amp;["&amp;H$5&amp;"]","[IF].[grupo_analisis]","[IF].[grupo_analisis].&amp;["&amp;$B44&amp;"]","[IF].[mes]","[IF].[mes].&amp;["&amp;H$8&amp;"]","[IF].[ano]","[IF].[ano].&amp;["&amp;H$7&amp;"]","[IF].[informacion]","[IF].[informacion].&amp;["&amp;H$9&amp;"]"),0)</f>
        <v>0</v>
      </c>
      <c r="I44" s="9">
        <f>IFERROR(GETPIVOTDATA("[Measures].[Suma de valor]",base!$A$3,"[IF].[departamento_jerarquia2]","[IF].[departamento_jerarquia2].&amp;["&amp;I$5&amp;"]","[IF].[grupo_analisis]","[IF].[grupo_analisis].&amp;["&amp;$B44&amp;"]","[IF].[mes]","[IF].[mes].&amp;["&amp;I$8&amp;"]","[IF].[ano]","[IF].[ano].&amp;["&amp;I$7&amp;"]","[IF].[informacion]","[IF].[informacion].&amp;["&amp;I$9&amp;"]"),0)</f>
        <v>0</v>
      </c>
      <c r="J44" s="9"/>
      <c r="K44" s="9"/>
      <c r="L44" s="12">
        <f t="shared" si="7"/>
        <v>0</v>
      </c>
      <c r="N44" s="12">
        <f>L44</f>
        <v>0</v>
      </c>
    </row>
    <row r="45" spans="1:14" x14ac:dyDescent="0.25">
      <c r="B45" t="s">
        <v>314</v>
      </c>
      <c r="C45" s="9">
        <f>IFERROR(GETPIVOTDATA("[Measures].[Suma de valor]",base!$A$3,"[IF].[departamento_jerarquia2]","[IF].[departamento_jerarquia2].&amp;["&amp;C$5&amp;"]","[IF].[grupo_analisis]","[IF].[grupo_analisis].&amp;["&amp;$B45&amp;"]","[IF].[mes]","[IF].[mes].&amp;["&amp;C$8&amp;"]","[IF].[ano]","[IF].[ano].&amp;["&amp;C$7&amp;"]","[IF].[informacion]","[IF].[informacion].&amp;["&amp;C$9&amp;"]"),0)</f>
        <v>0</v>
      </c>
      <c r="D45" s="9">
        <f>IFERROR(GETPIVOTDATA("[Measures].[Suma de valor]",base!$A$3,"[IF].[departamento_jerarquia2]","[IF].[departamento_jerarquia2].&amp;["&amp;D$5&amp;"]","[IF].[grupo_analisis]","[IF].[grupo_analisis].&amp;["&amp;$B45&amp;"]","[IF].[mes]","[IF].[mes].&amp;["&amp;D$8&amp;"]","[IF].[ano]","[IF].[ano].&amp;["&amp;D$7&amp;"]","[IF].[informacion]","[IF].[informacion].&amp;["&amp;D$9&amp;"]"),0)-E45</f>
        <v>0</v>
      </c>
      <c r="E45" s="9">
        <f>IFERROR(GETPIVOTDATA("[Measures].[Suma de valor]",base!$AN$5,"[IF].[grupo_analisis]","[IF].[grupo_analisis].&amp;["&amp;$B45&amp;"]","[IF].[mes]","[IF].[mes].&amp;["&amp;E$8&amp;"]","[IF].[ano]","[IF].[ano].&amp;["&amp;E$7&amp;"]","[IF].[informacion]","[IF].[informacion].&amp;["&amp;E$9&amp;"]"),0)</f>
        <v>0</v>
      </c>
      <c r="F45" s="9">
        <f>IFERROR(GETPIVOTDATA("[Measures].[Suma de valor]",base!$A$3,"[IF].[departamento_jerarquia2]","[IF].[departamento_jerarquia2].&amp;["&amp;F$5&amp;"]","[IF].[grupo_analisis]","[IF].[grupo_analisis].&amp;["&amp;$B45&amp;"]","[IF].[mes]","[IF].[mes].&amp;["&amp;F$8&amp;"]","[IF].[ano]","[IF].[ano].&amp;["&amp;F$7&amp;"]","[IF].[informacion]","[IF].[informacion].&amp;["&amp;F$9&amp;"]"),0)</f>
        <v>0</v>
      </c>
      <c r="G45" s="9">
        <f>IFERROR(GETPIVOTDATA("[Measures].[Suma de valor]",base!$A$3,"[IF].[departamento_jerarquia2]","[IF].[departamento_jerarquia2].&amp;["&amp;G$5&amp;"]","[IF].[grupo_analisis]","[IF].[grupo_analisis].&amp;["&amp;$B45&amp;"]","[IF].[mes]","[IF].[mes].&amp;["&amp;G$8&amp;"]","[IF].[ano]","[IF].[ano].&amp;["&amp;G$7&amp;"]","[IF].[informacion]","[IF].[informacion].&amp;["&amp;G$9&amp;"]"),0)</f>
        <v>0</v>
      </c>
      <c r="H45" s="9">
        <f>IFERROR(GETPIVOTDATA("[Measures].[Suma de valor]",base!$A$3,"[IF].[departamento_jerarquia2]","[IF].[departamento_jerarquia2].&amp;["&amp;H$5&amp;"]","[IF].[grupo_analisis]","[IF].[grupo_analisis].&amp;["&amp;$B45&amp;"]","[IF].[mes]","[IF].[mes].&amp;["&amp;H$8&amp;"]","[IF].[ano]","[IF].[ano].&amp;["&amp;H$7&amp;"]","[IF].[informacion]","[IF].[informacion].&amp;["&amp;H$9&amp;"]"),0)</f>
        <v>0</v>
      </c>
      <c r="I45" s="9">
        <f>IFERROR(GETPIVOTDATA("[Measures].[Suma de valor]",base!$A$3,"[IF].[departamento_jerarquia2]","[IF].[departamento_jerarquia2].&amp;["&amp;I$5&amp;"]","[IF].[grupo_analisis]","[IF].[grupo_analisis].&amp;["&amp;$B45&amp;"]","[IF].[mes]","[IF].[mes].&amp;["&amp;I$8&amp;"]","[IF].[ano]","[IF].[ano].&amp;["&amp;I$7&amp;"]","[IF].[informacion]","[IF].[informacion].&amp;["&amp;I$9&amp;"]"),0)</f>
        <v>15.765813</v>
      </c>
      <c r="J45" s="9"/>
      <c r="K45" s="9"/>
      <c r="L45" s="12">
        <f t="shared" si="7"/>
        <v>15.765813</v>
      </c>
      <c r="N45" s="12">
        <f t="shared" ref="N45" si="9">L45</f>
        <v>15.765813</v>
      </c>
    </row>
    <row r="46" spans="1:14" x14ac:dyDescent="0.25">
      <c r="B46" t="s">
        <v>120</v>
      </c>
      <c r="C46" s="9">
        <f>IFERROR(GETPIVOTDATA("[Measures].[Suma de valor]",base!$A$3,"[IF].[departamento_jerarquia2]","[IF].[departamento_jerarquia2].&amp;["&amp;C$5&amp;"]","[IF].[grupo_analisis]","[IF].[grupo_analisis].&amp;["&amp;$B46&amp;"]","[IF].[mes]","[IF].[mes].&amp;["&amp;C$8&amp;"]","[IF].[ano]","[IF].[ano].&amp;["&amp;C$7&amp;"]","[IF].[informacion]","[IF].[informacion].&amp;["&amp;C$9&amp;"]"),0)</f>
        <v>0</v>
      </c>
      <c r="D46" s="9">
        <f>IFERROR(GETPIVOTDATA("[Measures].[Suma de valor]",base!$A$3,"[IF].[departamento_jerarquia2]","[IF].[departamento_jerarquia2].&amp;["&amp;D$5&amp;"]","[IF].[grupo_analisis]","[IF].[grupo_analisis].&amp;["&amp;$B46&amp;"]","[IF].[mes]","[IF].[mes].&amp;["&amp;D$8&amp;"]","[IF].[ano]","[IF].[ano].&amp;["&amp;D$7&amp;"]","[IF].[informacion]","[IF].[informacion].&amp;["&amp;D$9&amp;"]"),0)-E46</f>
        <v>0</v>
      </c>
      <c r="E46" s="9">
        <f>IFERROR(GETPIVOTDATA("[Measures].[Suma de valor]",base!$AN$5,"[IF].[grupo_analisis]","[IF].[grupo_analisis].&amp;["&amp;$B46&amp;"]","[IF].[mes]","[IF].[mes].&amp;["&amp;E$8&amp;"]","[IF].[ano]","[IF].[ano].&amp;["&amp;E$7&amp;"]","[IF].[informacion]","[IF].[informacion].&amp;["&amp;E$9&amp;"]"),0)</f>
        <v>2.74539307</v>
      </c>
      <c r="F46" s="9">
        <f>IFERROR(GETPIVOTDATA("[Measures].[Suma de valor]",base!$A$3,"[IF].[departamento_jerarquia2]","[IF].[departamento_jerarquia2].&amp;["&amp;F$5&amp;"]","[IF].[grupo_analisis]","[IF].[grupo_analisis].&amp;["&amp;$B46&amp;"]","[IF].[mes]","[IF].[mes].&amp;["&amp;F$8&amp;"]","[IF].[ano]","[IF].[ano].&amp;["&amp;F$7&amp;"]","[IF].[informacion]","[IF].[informacion].&amp;["&amp;F$9&amp;"]"),0)</f>
        <v>0</v>
      </c>
      <c r="G46" s="9">
        <f>IFERROR(GETPIVOTDATA("[Measures].[Suma de valor]",base!$A$3,"[IF].[departamento_jerarquia2]","[IF].[departamento_jerarquia2].&amp;["&amp;G$5&amp;"]","[IF].[grupo_analisis]","[IF].[grupo_analisis].&amp;["&amp;$B46&amp;"]","[IF].[mes]","[IF].[mes].&amp;["&amp;G$8&amp;"]","[IF].[ano]","[IF].[ano].&amp;["&amp;G$7&amp;"]","[IF].[informacion]","[IF].[informacion].&amp;["&amp;G$9&amp;"]"),0)</f>
        <v>0</v>
      </c>
      <c r="H46" s="9">
        <f>IFERROR(GETPIVOTDATA("[Measures].[Suma de valor]",base!$A$3,"[IF].[departamento_jerarquia2]","[IF].[departamento_jerarquia2].&amp;["&amp;H$5&amp;"]","[IF].[grupo_analisis]","[IF].[grupo_analisis].&amp;["&amp;$B46&amp;"]","[IF].[mes]","[IF].[mes].&amp;["&amp;H$8&amp;"]","[IF].[ano]","[IF].[ano].&amp;["&amp;H$7&amp;"]","[IF].[informacion]","[IF].[informacion].&amp;["&amp;H$9&amp;"]"),0)</f>
        <v>0</v>
      </c>
      <c r="I46" s="9">
        <f>IFERROR(GETPIVOTDATA("[Measures].[Suma de valor]",base!$A$3,"[IF].[departamento_jerarquia2]","[IF].[departamento_jerarquia2].&amp;["&amp;I$5&amp;"]","[IF].[grupo_analisis]","[IF].[grupo_analisis].&amp;["&amp;$B46&amp;"]","[IF].[mes]","[IF].[mes].&amp;["&amp;I$8&amp;"]","[IF].[ano]","[IF].[ano].&amp;["&amp;I$7&amp;"]","[IF].[informacion]","[IF].[informacion].&amp;["&amp;I$9&amp;"]"),0)</f>
        <v>1.5062063799999998</v>
      </c>
      <c r="J46" s="9"/>
      <c r="K46" s="9"/>
      <c r="L46" s="12">
        <f t="shared" si="7"/>
        <v>4.2515994499999996</v>
      </c>
      <c r="N46" s="12">
        <f t="shared" si="8"/>
        <v>4.2515994499999996</v>
      </c>
    </row>
    <row r="47" spans="1:14" x14ac:dyDescent="0.25">
      <c r="B47" s="8" t="s">
        <v>109</v>
      </c>
      <c r="C47" s="10">
        <f t="shared" ref="C47:L47" si="10">SUM(C48:C66)</f>
        <v>0</v>
      </c>
      <c r="D47" s="10">
        <f t="shared" si="10"/>
        <v>226.52669700000001</v>
      </c>
      <c r="E47" s="10">
        <f t="shared" si="10"/>
        <v>727.09822800000006</v>
      </c>
      <c r="F47" s="10">
        <f t="shared" si="10"/>
        <v>0</v>
      </c>
      <c r="G47" s="10">
        <f t="shared" si="10"/>
        <v>0</v>
      </c>
      <c r="H47" s="10">
        <f t="shared" si="10"/>
        <v>0</v>
      </c>
      <c r="I47" s="10">
        <f t="shared" si="10"/>
        <v>158.08201300000002</v>
      </c>
      <c r="J47" s="10"/>
      <c r="K47" s="10"/>
      <c r="L47" s="13">
        <f t="shared" si="10"/>
        <v>1111.7069379999998</v>
      </c>
      <c r="M47" s="8"/>
      <c r="N47" s="13">
        <f>SUM(N48:N66)</f>
        <v>1074.6124649999999</v>
      </c>
    </row>
    <row r="48" spans="1:14" outlineLevel="1" x14ac:dyDescent="0.25">
      <c r="A48" t="s">
        <v>146</v>
      </c>
      <c r="B48" t="s">
        <v>181</v>
      </c>
      <c r="C48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48&amp;"]"),0)</f>
        <v>0</v>
      </c>
      <c r="D48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48&amp;"]"),0)-E48</f>
        <v>78.229343999999998</v>
      </c>
      <c r="E48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valor]",base!$AW$5,"[IF].[mes]","[IF].[mes].&amp;["&amp;E$8&amp;"]","[IF].[ano]","[IF].[ano].&amp;["&amp;E$7&amp;"]","[IF].[informacion]","[IF].[informacion].&amp;["&amp;E$9&amp;"]","[IF].[cuenta_ppto]","[IF].[cuenta_ppto].&amp;["&amp;$A48&amp;"]"),0)</f>
        <v>176.80274600000001</v>
      </c>
      <c r="F48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48&amp;"]"),0)</f>
        <v>0</v>
      </c>
      <c r="G48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48&amp;"]"),0)</f>
        <v>0</v>
      </c>
      <c r="H48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48&amp;"]"),0)</f>
        <v>0</v>
      </c>
      <c r="I48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48&amp;"]"),0)</f>
        <v>0</v>
      </c>
      <c r="J48" s="11"/>
      <c r="K48" s="11"/>
      <c r="L48" s="123">
        <f t="shared" ref="L48:L72" si="11">SUM(C48:K48)</f>
        <v>255.03209000000001</v>
      </c>
      <c r="N48" s="123">
        <f>(L48+L50-L22)</f>
        <v>243.143687</v>
      </c>
    </row>
    <row r="49" spans="1:14" outlineLevel="1" x14ac:dyDescent="0.25">
      <c r="A49" t="s">
        <v>147</v>
      </c>
      <c r="B49" t="s">
        <v>182</v>
      </c>
      <c r="C49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49&amp;"]"),0)</f>
        <v>0</v>
      </c>
      <c r="D49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49&amp;"]"),0)-E49</f>
        <v>0</v>
      </c>
      <c r="E49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valor]",base!$AW$5,"[IF].[mes]","[IF].[mes].&amp;["&amp;E$8&amp;"]","[IF].[ano]","[IF].[ano].&amp;["&amp;E$7&amp;"]","[IF].[informacion]","[IF].[informacion].&amp;["&amp;E$9&amp;"]","[IF].[cuenta_ppto]","[IF].[cuenta_ppto].&amp;["&amp;$A49&amp;"]"),0)</f>
        <v>0</v>
      </c>
      <c r="F49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49&amp;"]"),0)</f>
        <v>0</v>
      </c>
      <c r="G49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49&amp;"]"),0)</f>
        <v>0</v>
      </c>
      <c r="H49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49&amp;"]"),0)</f>
        <v>0</v>
      </c>
      <c r="I49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49&amp;"]"),0)</f>
        <v>0</v>
      </c>
      <c r="J49" s="11"/>
      <c r="K49" s="11"/>
      <c r="L49" s="3">
        <f t="shared" si="11"/>
        <v>0</v>
      </c>
      <c r="N49" s="3">
        <f>L49</f>
        <v>0</v>
      </c>
    </row>
    <row r="50" spans="1:14" outlineLevel="1" x14ac:dyDescent="0.25">
      <c r="A50" t="s">
        <v>148</v>
      </c>
      <c r="B50" t="s">
        <v>183</v>
      </c>
      <c r="C50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50&amp;"]"),0)</f>
        <v>0</v>
      </c>
      <c r="D50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50&amp;"]"),0)-E50</f>
        <v>-8.9955130000000008</v>
      </c>
      <c r="E50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valor]",base!$AW$5,"[IF].[mes]","[IF].[mes].&amp;["&amp;E$8&amp;"]","[IF].[ano]","[IF].[ano].&amp;["&amp;E$7&amp;"]","[IF].[informacion]","[IF].[informacion].&amp;["&amp;E$9&amp;"]","[IF].[cuenta_ppto]","[IF].[cuenta_ppto].&amp;["&amp;$A50&amp;"]"),0)</f>
        <v>0</v>
      </c>
      <c r="F50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50&amp;"]"),0)</f>
        <v>0</v>
      </c>
      <c r="G50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50&amp;"]"),0)</f>
        <v>0</v>
      </c>
      <c r="H50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50&amp;"]"),0)</f>
        <v>0</v>
      </c>
      <c r="I50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50&amp;"]"),0)</f>
        <v>-2.89289</v>
      </c>
      <c r="J50" s="11"/>
      <c r="K50" s="11"/>
      <c r="L50" s="123">
        <f t="shared" si="11"/>
        <v>-11.888403</v>
      </c>
      <c r="N50" s="3"/>
    </row>
    <row r="51" spans="1:14" outlineLevel="1" x14ac:dyDescent="0.25">
      <c r="A51" t="s">
        <v>149</v>
      </c>
      <c r="B51" t="s">
        <v>184</v>
      </c>
      <c r="C51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51&amp;"]"),0)</f>
        <v>0</v>
      </c>
      <c r="D51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51&amp;"]"),0)-E51</f>
        <v>0</v>
      </c>
      <c r="E51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valor]",base!$AW$5,"[IF].[mes]","[IF].[mes].&amp;["&amp;E$8&amp;"]","[IF].[ano]","[IF].[ano].&amp;["&amp;E$7&amp;"]","[IF].[informacion]","[IF].[informacion].&amp;["&amp;E$9&amp;"]","[IF].[cuenta_ppto]","[IF].[cuenta_ppto].&amp;["&amp;$A51&amp;"]"),0)</f>
        <v>5.7858900000000002</v>
      </c>
      <c r="F51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51&amp;"]"),0)</f>
        <v>0</v>
      </c>
      <c r="G51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51&amp;"]"),0)</f>
        <v>0</v>
      </c>
      <c r="H51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51&amp;"]"),0)</f>
        <v>0</v>
      </c>
      <c r="I51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51&amp;"]"),0)</f>
        <v>70.80868199999999</v>
      </c>
      <c r="J51" s="11"/>
      <c r="K51" s="11"/>
      <c r="L51" s="124">
        <f t="shared" si="11"/>
        <v>76.594571999999985</v>
      </c>
      <c r="N51" s="3"/>
    </row>
    <row r="52" spans="1:14" outlineLevel="1" x14ac:dyDescent="0.25">
      <c r="A52" t="s">
        <v>150</v>
      </c>
      <c r="B52" t="s">
        <v>185</v>
      </c>
      <c r="C52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52&amp;"]"),0)</f>
        <v>0</v>
      </c>
      <c r="D52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52&amp;"]"),0)-E52</f>
        <v>0</v>
      </c>
      <c r="E52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valor]",base!$AW$5,"[IF].[mes]","[IF].[mes].&amp;["&amp;E$8&amp;"]","[IF].[ano]","[IF].[ano].&amp;["&amp;E$7&amp;"]","[IF].[informacion]","[IF].[informacion].&amp;["&amp;E$9&amp;"]","[IF].[cuenta_ppto]","[IF].[cuenta_ppto].&amp;["&amp;$A52&amp;"]"),0)</f>
        <v>0</v>
      </c>
      <c r="F52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52&amp;"]"),0)</f>
        <v>0</v>
      </c>
      <c r="G52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52&amp;"]"),0)</f>
        <v>0</v>
      </c>
      <c r="H52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52&amp;"]"),0)</f>
        <v>0</v>
      </c>
      <c r="I52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52&amp;"]"),0)</f>
        <v>0</v>
      </c>
      <c r="J52" s="11"/>
      <c r="K52" s="11"/>
      <c r="L52" s="3">
        <f t="shared" si="11"/>
        <v>0</v>
      </c>
      <c r="N52" s="3">
        <f t="shared" ref="N52:N65" si="12">L52</f>
        <v>0</v>
      </c>
    </row>
    <row r="53" spans="1:14" outlineLevel="1" x14ac:dyDescent="0.25">
      <c r="A53" t="s">
        <v>250</v>
      </c>
      <c r="B53" t="s">
        <v>358</v>
      </c>
      <c r="C53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53&amp;"]"),0)</f>
        <v>0</v>
      </c>
      <c r="D53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53&amp;"]"),0)-E53</f>
        <v>0</v>
      </c>
      <c r="E53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valor]",base!$AW$5,"[IF].[mes]","[IF].[mes].&amp;["&amp;E$8&amp;"]","[IF].[ano]","[IF].[ano].&amp;["&amp;E$7&amp;"]","[IF].[informacion]","[IF].[informacion].&amp;["&amp;E$9&amp;"]","[IF].[cuenta_ppto]","[IF].[cuenta_ppto].&amp;["&amp;$A53&amp;"]"),0)</f>
        <v>0</v>
      </c>
      <c r="F53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53&amp;"]"),0)</f>
        <v>0</v>
      </c>
      <c r="G53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53&amp;"]"),0)</f>
        <v>0</v>
      </c>
      <c r="H53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53&amp;"]"),0)</f>
        <v>0</v>
      </c>
      <c r="I53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53&amp;"]"),0)</f>
        <v>0</v>
      </c>
      <c r="J53" s="11"/>
      <c r="K53" s="11"/>
      <c r="L53" s="3">
        <f t="shared" si="11"/>
        <v>0</v>
      </c>
      <c r="N53" s="3">
        <f t="shared" si="12"/>
        <v>0</v>
      </c>
    </row>
    <row r="54" spans="1:14" outlineLevel="1" x14ac:dyDescent="0.25">
      <c r="A54" t="s">
        <v>151</v>
      </c>
      <c r="B54" t="s">
        <v>186</v>
      </c>
      <c r="C54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54&amp;"]"),0)</f>
        <v>0</v>
      </c>
      <c r="D54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54&amp;"]"),0)-E54</f>
        <v>7.8E-2</v>
      </c>
      <c r="E54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valor]",base!$AW$5,"[IF].[mes]","[IF].[mes].&amp;["&amp;E$8&amp;"]","[IF].[ano]","[IF].[ano].&amp;["&amp;E$7&amp;"]","[IF].[informacion]","[IF].[informacion].&amp;["&amp;E$9&amp;"]","[IF].[cuenta_ppto]","[IF].[cuenta_ppto].&amp;["&amp;$A54&amp;"]"),0)</f>
        <v>3.8800000000000001E-2</v>
      </c>
      <c r="F54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54&amp;"]"),0)</f>
        <v>0</v>
      </c>
      <c r="G54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54&amp;"]"),0)</f>
        <v>0</v>
      </c>
      <c r="H54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54&amp;"]"),0)</f>
        <v>0</v>
      </c>
      <c r="I54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54&amp;"]"),0)</f>
        <v>0</v>
      </c>
      <c r="J54" s="11"/>
      <c r="K54" s="11"/>
      <c r="L54" s="3">
        <f t="shared" si="11"/>
        <v>0.1168</v>
      </c>
      <c r="N54" s="3">
        <f t="shared" si="12"/>
        <v>0.1168</v>
      </c>
    </row>
    <row r="55" spans="1:14" outlineLevel="1" x14ac:dyDescent="0.25">
      <c r="A55" t="s">
        <v>152</v>
      </c>
      <c r="B55" t="s">
        <v>187</v>
      </c>
      <c r="C55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55&amp;"]"),0)</f>
        <v>0</v>
      </c>
      <c r="D55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55&amp;"]"),0)-E55</f>
        <v>6.0116419999999984</v>
      </c>
      <c r="E55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valor]",base!$AW$5,"[IF].[mes]","[IF].[mes].&amp;["&amp;E$8&amp;"]","[IF].[ano]","[IF].[ano].&amp;["&amp;E$7&amp;"]","[IF].[informacion]","[IF].[informacion].&amp;["&amp;E$9&amp;"]","[IF].[cuenta_ppto]","[IF].[cuenta_ppto].&amp;["&amp;$A55&amp;"]"),0)</f>
        <v>24.619105999999999</v>
      </c>
      <c r="F55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55&amp;"]"),0)</f>
        <v>0</v>
      </c>
      <c r="G55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55&amp;"]"),0)</f>
        <v>0</v>
      </c>
      <c r="H55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55&amp;"]"),0)</f>
        <v>0</v>
      </c>
      <c r="I55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55&amp;"]"),0)</f>
        <v>0</v>
      </c>
      <c r="J55" s="11"/>
      <c r="K55" s="11"/>
      <c r="L55" s="3">
        <f t="shared" si="11"/>
        <v>30.630747999999997</v>
      </c>
      <c r="N55" s="3">
        <f t="shared" si="12"/>
        <v>30.630747999999997</v>
      </c>
    </row>
    <row r="56" spans="1:14" outlineLevel="1" x14ac:dyDescent="0.25">
      <c r="A56" t="s">
        <v>153</v>
      </c>
      <c r="B56" t="s">
        <v>188</v>
      </c>
      <c r="C56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56&amp;"]"),0)</f>
        <v>0</v>
      </c>
      <c r="D56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56&amp;"]"),0)-E56</f>
        <v>0</v>
      </c>
      <c r="E56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valor]",base!$AW$5,"[IF].[mes]","[IF].[mes].&amp;["&amp;E$8&amp;"]","[IF].[ano]","[IF].[ano].&amp;["&amp;E$7&amp;"]","[IF].[informacion]","[IF].[informacion].&amp;["&amp;E$9&amp;"]","[IF].[cuenta_ppto]","[IF].[cuenta_ppto].&amp;["&amp;$A56&amp;"]"),0)</f>
        <v>0.28671099999999999</v>
      </c>
      <c r="F56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56&amp;"]"),0)</f>
        <v>0</v>
      </c>
      <c r="G56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56&amp;"]"),0)</f>
        <v>0</v>
      </c>
      <c r="H56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56&amp;"]"),0)</f>
        <v>0</v>
      </c>
      <c r="I56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56&amp;"]"),0)</f>
        <v>63.635961999999999</v>
      </c>
      <c r="J56" s="11"/>
      <c r="K56" s="11"/>
      <c r="L56" s="3">
        <f t="shared" si="11"/>
        <v>63.922672999999996</v>
      </c>
      <c r="N56" s="3">
        <f t="shared" si="12"/>
        <v>63.922672999999996</v>
      </c>
    </row>
    <row r="57" spans="1:14" outlineLevel="1" x14ac:dyDescent="0.25">
      <c r="A57" t="s">
        <v>154</v>
      </c>
      <c r="B57" t="s">
        <v>189</v>
      </c>
      <c r="C57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57&amp;"]"),0)</f>
        <v>0</v>
      </c>
      <c r="D57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57&amp;"]"),0)-E57</f>
        <v>2.6140280000000011</v>
      </c>
      <c r="E57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valor]",base!$AW$5,"[IF].[mes]","[IF].[mes].&amp;["&amp;E$8&amp;"]","[IF].[ano]","[IF].[ano].&amp;["&amp;E$7&amp;"]","[IF].[informacion]","[IF].[informacion].&amp;["&amp;E$9&amp;"]","[IF].[cuenta_ppto]","[IF].[cuenta_ppto].&amp;["&amp;$A57&amp;"]"),0)</f>
        <v>17.493879</v>
      </c>
      <c r="F57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57&amp;"]"),0)</f>
        <v>0</v>
      </c>
      <c r="G57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57&amp;"]"),0)</f>
        <v>0</v>
      </c>
      <c r="H57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57&amp;"]"),0)</f>
        <v>0</v>
      </c>
      <c r="I57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57&amp;"]"),0)</f>
        <v>0</v>
      </c>
      <c r="J57" s="11"/>
      <c r="K57" s="11"/>
      <c r="L57" s="3">
        <f t="shared" si="11"/>
        <v>20.107907000000001</v>
      </c>
      <c r="N57" s="3">
        <f t="shared" si="12"/>
        <v>20.107907000000001</v>
      </c>
    </row>
    <row r="58" spans="1:14" outlineLevel="1" x14ac:dyDescent="0.25">
      <c r="A58" t="s">
        <v>155</v>
      </c>
      <c r="B58" t="s">
        <v>190</v>
      </c>
      <c r="C58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58&amp;"]"),0)</f>
        <v>0</v>
      </c>
      <c r="D58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58&amp;"]"),0)-E58</f>
        <v>4.466236999999996</v>
      </c>
      <c r="E58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valor]",base!$AW$5,"[IF].[mes]","[IF].[mes].&amp;["&amp;E$8&amp;"]","[IF].[ano]","[IF].[ano].&amp;["&amp;E$7&amp;"]","[IF].[informacion]","[IF].[informacion].&amp;["&amp;E$9&amp;"]","[IF].[cuenta_ppto]","[IF].[cuenta_ppto].&amp;["&amp;$A58&amp;"]"),0)</f>
        <v>29.889430999999998</v>
      </c>
      <c r="F58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58&amp;"]"),0)</f>
        <v>0</v>
      </c>
      <c r="G58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58&amp;"]"),0)</f>
        <v>0</v>
      </c>
      <c r="H58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58&amp;"]"),0)</f>
        <v>0</v>
      </c>
      <c r="I58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58&amp;"]"),0)</f>
        <v>0</v>
      </c>
      <c r="J58" s="11"/>
      <c r="K58" s="11"/>
      <c r="L58" s="3">
        <f t="shared" si="11"/>
        <v>34.355667999999994</v>
      </c>
      <c r="N58" s="3">
        <f t="shared" si="12"/>
        <v>34.355667999999994</v>
      </c>
    </row>
    <row r="59" spans="1:14" outlineLevel="1" x14ac:dyDescent="0.25">
      <c r="A59" t="s">
        <v>156</v>
      </c>
      <c r="B59" t="s">
        <v>191</v>
      </c>
      <c r="C59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59&amp;"]"),0)</f>
        <v>0</v>
      </c>
      <c r="D59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59&amp;"]"),0)-E59</f>
        <v>2.7702109999999998</v>
      </c>
      <c r="E59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valor]",base!$AW$5,"[IF].[mes]","[IF].[mes].&amp;["&amp;E$8&amp;"]","[IF].[ano]","[IF].[ano].&amp;["&amp;E$7&amp;"]","[IF].[informacion]","[IF].[informacion].&amp;["&amp;E$9&amp;"]","[IF].[cuenta_ppto]","[IF].[cuenta_ppto].&amp;["&amp;$A59&amp;"]"),0)</f>
        <v>18.539106</v>
      </c>
      <c r="F59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59&amp;"]"),0)</f>
        <v>0</v>
      </c>
      <c r="G59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59&amp;"]"),0)</f>
        <v>0</v>
      </c>
      <c r="H59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59&amp;"]"),0)</f>
        <v>0</v>
      </c>
      <c r="I59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59&amp;"]"),0)</f>
        <v>0</v>
      </c>
      <c r="J59" s="11"/>
      <c r="K59" s="11"/>
      <c r="L59" s="3">
        <f t="shared" si="11"/>
        <v>21.309317</v>
      </c>
      <c r="N59" s="3">
        <f t="shared" si="12"/>
        <v>21.309317</v>
      </c>
    </row>
    <row r="60" spans="1:14" outlineLevel="1" x14ac:dyDescent="0.25">
      <c r="A60" t="s">
        <v>157</v>
      </c>
      <c r="B60" t="s">
        <v>192</v>
      </c>
      <c r="C60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60&amp;"]"),0)</f>
        <v>0</v>
      </c>
      <c r="D60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60&amp;"]"),0)-E60</f>
        <v>2.0880999999999998</v>
      </c>
      <c r="E60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valor]",base!$AW$5,"[IF].[mes]","[IF].[mes].&amp;["&amp;E$8&amp;"]","[IF].[ano]","[IF].[ano].&amp;["&amp;E$7&amp;"]","[IF].[informacion]","[IF].[informacion].&amp;["&amp;E$9&amp;"]","[IF].[cuenta_ppto]","[IF].[cuenta_ppto].&amp;["&amp;$A60&amp;"]"),0)</f>
        <v>3.5735999999999999</v>
      </c>
      <c r="F60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60&amp;"]"),0)</f>
        <v>0</v>
      </c>
      <c r="G60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60&amp;"]"),0)</f>
        <v>0</v>
      </c>
      <c r="H60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60&amp;"]"),0)</f>
        <v>0</v>
      </c>
      <c r="I60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60&amp;"]"),0)</f>
        <v>1.66E-2</v>
      </c>
      <c r="J60" s="11"/>
      <c r="K60" s="11"/>
      <c r="L60" s="3">
        <f t="shared" si="11"/>
        <v>5.6783000000000001</v>
      </c>
      <c r="N60" s="3">
        <f t="shared" si="12"/>
        <v>5.6783000000000001</v>
      </c>
    </row>
    <row r="61" spans="1:14" outlineLevel="1" x14ac:dyDescent="0.25">
      <c r="A61" t="s">
        <v>158</v>
      </c>
      <c r="B61" t="s">
        <v>193</v>
      </c>
      <c r="C61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61&amp;"]"),0)</f>
        <v>0</v>
      </c>
      <c r="D61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61&amp;"]"),0)-E61</f>
        <v>0.40799999999999997</v>
      </c>
      <c r="E61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valor]",base!$AW$5,"[IF].[mes]","[IF].[mes].&amp;["&amp;E$8&amp;"]","[IF].[ano]","[IF].[ano].&amp;["&amp;E$7&amp;"]","[IF].[informacion]","[IF].[informacion].&amp;["&amp;E$9&amp;"]","[IF].[cuenta_ppto]","[IF].[cuenta_ppto].&amp;["&amp;$A61&amp;"]"),0)</f>
        <v>0</v>
      </c>
      <c r="F61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61&amp;"]"),0)</f>
        <v>0</v>
      </c>
      <c r="G61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61&amp;"]"),0)</f>
        <v>0</v>
      </c>
      <c r="H61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61&amp;"]"),0)</f>
        <v>0</v>
      </c>
      <c r="I61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61&amp;"]"),0)</f>
        <v>0</v>
      </c>
      <c r="J61" s="11"/>
      <c r="K61" s="11"/>
      <c r="L61" s="3">
        <f t="shared" si="11"/>
        <v>0.40799999999999997</v>
      </c>
      <c r="N61" s="3">
        <f t="shared" si="12"/>
        <v>0.40799999999999997</v>
      </c>
    </row>
    <row r="62" spans="1:14" outlineLevel="1" x14ac:dyDescent="0.25">
      <c r="A62" t="s">
        <v>159</v>
      </c>
      <c r="B62" t="s">
        <v>194</v>
      </c>
      <c r="C62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62&amp;"]"),0)</f>
        <v>0</v>
      </c>
      <c r="D62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62&amp;"]"),0)-E62</f>
        <v>16.860697999999999</v>
      </c>
      <c r="E62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valor]",base!$AW$5,"[IF].[mes]","[IF].[mes].&amp;["&amp;E$8&amp;"]","[IF].[ano]","[IF].[ano].&amp;["&amp;E$7&amp;"]","[IF].[informacion]","[IF].[informacion].&amp;["&amp;E$9&amp;"]","[IF].[cuenta_ppto]","[IF].[cuenta_ppto].&amp;["&amp;$A62&amp;"]"),0)</f>
        <v>19.227972999999999</v>
      </c>
      <c r="F62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62&amp;"]"),0)</f>
        <v>0</v>
      </c>
      <c r="G62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62&amp;"]"),0)</f>
        <v>0</v>
      </c>
      <c r="H62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62&amp;"]"),0)</f>
        <v>0</v>
      </c>
      <c r="I62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62&amp;"]"),0)</f>
        <v>0</v>
      </c>
      <c r="J62" s="11"/>
      <c r="K62" s="11"/>
      <c r="L62" s="3">
        <f t="shared" si="11"/>
        <v>36.088670999999998</v>
      </c>
      <c r="N62" s="3">
        <f t="shared" si="12"/>
        <v>36.088670999999998</v>
      </c>
    </row>
    <row r="63" spans="1:14" outlineLevel="1" x14ac:dyDescent="0.25">
      <c r="A63" t="s">
        <v>160</v>
      </c>
      <c r="B63" t="s">
        <v>195</v>
      </c>
      <c r="C63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63&amp;"]"),0)</f>
        <v>0</v>
      </c>
      <c r="D63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63&amp;"]"),0)-E63</f>
        <v>3.8637319999999988</v>
      </c>
      <c r="E63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valor]",base!$AW$5,"[IF].[mes]","[IF].[mes].&amp;["&amp;E$8&amp;"]","[IF].[ano]","[IF].[ano].&amp;["&amp;E$7&amp;"]","[IF].[informacion]","[IF].[informacion].&amp;["&amp;E$9&amp;"]","[IF].[cuenta_ppto]","[IF].[cuenta_ppto].&amp;["&amp;$A63&amp;"]"),0)</f>
        <v>30.694944</v>
      </c>
      <c r="F63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63&amp;"]"),0)</f>
        <v>0</v>
      </c>
      <c r="G63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63&amp;"]"),0)</f>
        <v>0</v>
      </c>
      <c r="H63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63&amp;"]"),0)</f>
        <v>0</v>
      </c>
      <c r="I63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63&amp;"]"),0)</f>
        <v>26.513659000000004</v>
      </c>
      <c r="J63" s="11"/>
      <c r="K63" s="11"/>
      <c r="L63" s="3">
        <f t="shared" si="11"/>
        <v>61.072335000000002</v>
      </c>
      <c r="N63" s="3">
        <f t="shared" si="12"/>
        <v>61.072335000000002</v>
      </c>
    </row>
    <row r="64" spans="1:14" outlineLevel="1" x14ac:dyDescent="0.25">
      <c r="A64" t="s">
        <v>161</v>
      </c>
      <c r="B64" t="s">
        <v>196</v>
      </c>
      <c r="C64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64&amp;"]"),0)</f>
        <v>0</v>
      </c>
      <c r="D64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64&amp;"]"),0)-E64</f>
        <v>0</v>
      </c>
      <c r="E64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valor]",base!$AW$5,"[IF].[mes]","[IF].[mes].&amp;["&amp;E$8&amp;"]","[IF].[ano]","[IF].[ano].&amp;["&amp;E$7&amp;"]","[IF].[informacion]","[IF].[informacion].&amp;["&amp;E$9&amp;"]","[IF].[cuenta_ppto]","[IF].[cuenta_ppto].&amp;["&amp;$A64&amp;"]"),0)</f>
        <v>0</v>
      </c>
      <c r="F64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64&amp;"]"),0)</f>
        <v>0</v>
      </c>
      <c r="G64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64&amp;"]"),0)</f>
        <v>0</v>
      </c>
      <c r="H64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64&amp;"]"),0)</f>
        <v>0</v>
      </c>
      <c r="I64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64&amp;"]"),0)</f>
        <v>0</v>
      </c>
      <c r="J64" s="11"/>
      <c r="K64" s="11"/>
      <c r="L64" s="3">
        <f t="shared" si="11"/>
        <v>0</v>
      </c>
      <c r="N64" s="3">
        <f t="shared" si="12"/>
        <v>0</v>
      </c>
    </row>
    <row r="65" spans="1:14" outlineLevel="1" x14ac:dyDescent="0.25">
      <c r="A65" t="s">
        <v>162</v>
      </c>
      <c r="B65" t="s">
        <v>197</v>
      </c>
      <c r="C65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65&amp;"]"),0)</f>
        <v>0</v>
      </c>
      <c r="D65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65&amp;"]"),0)-E65</f>
        <v>0</v>
      </c>
      <c r="E65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valor]",base!$AW$5,"[IF].[mes]","[IF].[mes].&amp;["&amp;E$8&amp;"]","[IF].[ano]","[IF].[ano].&amp;["&amp;E$7&amp;"]","[IF].[informacion]","[IF].[informacion].&amp;["&amp;E$9&amp;"]","[IF].[cuenta_ppto]","[IF].[cuenta_ppto].&amp;["&amp;$A65&amp;"]"),0)</f>
        <v>0</v>
      </c>
      <c r="F65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65&amp;"]"),0)</f>
        <v>0</v>
      </c>
      <c r="G65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65&amp;"]"),0)</f>
        <v>0</v>
      </c>
      <c r="H65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65&amp;"]"),0)</f>
        <v>0</v>
      </c>
      <c r="I65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65&amp;"]"),0)</f>
        <v>0</v>
      </c>
      <c r="J65" s="11"/>
      <c r="K65" s="11"/>
      <c r="L65" s="3">
        <f t="shared" si="11"/>
        <v>0</v>
      </c>
      <c r="N65" s="3">
        <f t="shared" si="12"/>
        <v>0</v>
      </c>
    </row>
    <row r="66" spans="1:14" outlineLevel="1" x14ac:dyDescent="0.25">
      <c r="A66" t="s">
        <v>163</v>
      </c>
      <c r="B66" t="s">
        <v>198</v>
      </c>
      <c r="C66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66&amp;"]"),0)</f>
        <v>0</v>
      </c>
      <c r="D66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66&amp;"]"),0)-E66</f>
        <v>118.13221800000002</v>
      </c>
      <c r="E66" s="11">
        <f>IFERROR(GETPIVOTDATA("[Measures].[Suma de valor]",base!$AW$5,"[IF].[mes]","[IF].[mes].&amp;["&amp;E$8&amp;"]","[IF].[ano]","[IF].[ano].&amp;["&amp;E$7&amp;"]","[IF].[informacion]","[IF].[informacion].&amp;["&amp;E$9&amp;"]","[IF].[cuenta_ppto]","[IF].[cuenta_ppto].&amp;["&amp;$A66&amp;"]"),0)</f>
        <v>400.14604200000002</v>
      </c>
      <c r="F66" s="11">
        <f>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66&amp;"]"),0)</f>
        <v>0</v>
      </c>
      <c r="G66" s="11">
        <f>IFERROR(GETPIVOTDATA("[Measures].[Suma de valor]",base!$K$3,"[IF].[departamento_jerarquia2]","[IF].[departamento_jerarquia2].&amp;["&amp;G$5&amp;"]","[IF].[mes]","[IF].[mes].&amp;["&amp;G$8&amp;"]","[IF].[ano]","[IF].[ano].&amp;["&amp;G$7&amp;"]","[IF].[informacion]","[IF].[informacion].&amp;["&amp;G$9&amp;"]","[IF].[cuenta_ppto]","[IF].[cuenta_ppto].&amp;["&amp;$A66&amp;"]"),0)</f>
        <v>0</v>
      </c>
      <c r="H66" s="11">
        <f>IFERROR(GETPIVOTDATA("[Measures].[Suma de valor]",base!$K$3,"[IF].[departamento_jerarquia2]","[IF].[departamento_jerarquia2].&amp;["&amp;H$5&amp;"]","[IF].[mes]","[IF].[mes].&amp;["&amp;H$8&amp;"]","[IF].[ano]","[IF].[ano].&amp;["&amp;H$7&amp;"]","[IF].[informacion]","[IF].[informacion].&amp;["&amp;H$9&amp;"]","[IF].[cuenta_ppto]","[IF].[cuenta_ppto].&amp;["&amp;$A66&amp;"]"),0)</f>
        <v>0</v>
      </c>
      <c r="I66" s="11">
        <f>IFERROR(GETPIVOTDATA("[Measures].[Suma de valor]",base!$K$3,"[IF].[departamento_jerarquia2]","[IF].[departamento_jerarquia2].&amp;["&amp;I$5&amp;"]","[IF].[mes]","[IF].[mes].&amp;["&amp;I$8&amp;"]","[IF].[ano]","[IF].[ano].&amp;["&amp;I$7&amp;"]","[IF].[informacion]","[IF].[informacion].&amp;["&amp;I$9&amp;"]","[IF].[cuenta_ppto]","[IF].[cuenta_ppto].&amp;["&amp;$A66&amp;"]"),0)</f>
        <v>0</v>
      </c>
      <c r="J66" s="11"/>
      <c r="K66" s="11"/>
      <c r="L66" s="124">
        <f t="shared" si="11"/>
        <v>518.27826000000005</v>
      </c>
      <c r="M66" s="3">
        <f>+L66-L35</f>
        <v>518.27826000000005</v>
      </c>
      <c r="N66" s="124">
        <f>(L66+L51)-(L23+L35)</f>
        <v>557.77835900000002</v>
      </c>
    </row>
    <row r="67" spans="1:14" x14ac:dyDescent="0.25">
      <c r="B67" t="s">
        <v>204</v>
      </c>
      <c r="C67" s="9">
        <f>IFERROR(GETPIVOTDATA("[Measures].[Suma de valor]",base!$A$3,"[IF].[departamento_jerarquia2]","[IF].[departamento_jerarquia2].&amp;["&amp;C$5&amp;"]","[IF].[grupo_analisis]","[IF].[grupo_analisis].&amp;["&amp;$B67&amp;"]","[IF].[mes]","[IF].[mes].&amp;["&amp;C$8&amp;"]","[IF].[ano]","[IF].[ano].&amp;["&amp;C$7&amp;"]","[IF].[informacion]","[IF].[informacion].&amp;["&amp;C$9&amp;"]"),0)</f>
        <v>0</v>
      </c>
      <c r="D67" s="9">
        <f>IFERROR(GETPIVOTDATA("[Measures].[Suma de valor]",base!$A$3,"[IF].[departamento_jerarquia2]","[IF].[departamento_jerarquia2].&amp;["&amp;D$5&amp;"]","[IF].[grupo_analisis]","[IF].[grupo_analisis].&amp;["&amp;$B67&amp;"]","[IF].[mes]","[IF].[mes].&amp;["&amp;D$8&amp;"]","[IF].[ano]","[IF].[ano].&amp;["&amp;D$7&amp;"]","[IF].[informacion]","[IF].[informacion].&amp;["&amp;D$9&amp;"]"),0)-E67</f>
        <v>0</v>
      </c>
      <c r="E67" s="9">
        <f>IFERROR(GETPIVOTDATA("[Measures].[Suma de valor]",base!$AN$5,"[IF].[grupo_analisis]","[IF].[grupo_analisis].&amp;["&amp;$B67&amp;"]","[IF].[mes]","[IF].[mes].&amp;["&amp;E$8&amp;"]","[IF].[ano]","[IF].[ano].&amp;["&amp;E$7&amp;"]","[IF].[informacion]","[IF].[informacion].&amp;["&amp;E$9&amp;"]"),0)</f>
        <v>0</v>
      </c>
      <c r="F67" s="9">
        <f>IFERROR(GETPIVOTDATA("[Measures].[Suma de valor]",base!$A$3,"[IF].[departamento_jerarquia2]","[IF].[departamento_jerarquia2].&amp;["&amp;F$5&amp;"]","[IF].[grupo_analisis]","[IF].[grupo_analisis].&amp;["&amp;$B67&amp;"]","[IF].[mes]","[IF].[mes].&amp;["&amp;F$8&amp;"]","[IF].[ano]","[IF].[ano].&amp;["&amp;F$7&amp;"]","[IF].[informacion]","[IF].[informacion].&amp;["&amp;F$9&amp;"]"),0)</f>
        <v>0</v>
      </c>
      <c r="G67" s="9">
        <f>IFERROR(GETPIVOTDATA("[Measures].[Suma de valor]",base!$A$3,"[IF].[departamento_jerarquia2]","[IF].[departamento_jerarquia2].&amp;["&amp;G$5&amp;"]","[IF].[grupo_analisis]","[IF].[grupo_analisis].&amp;["&amp;$B67&amp;"]","[IF].[mes]","[IF].[mes].&amp;["&amp;G$8&amp;"]","[IF].[ano]","[IF].[ano].&amp;["&amp;G$7&amp;"]","[IF].[informacion]","[IF].[informacion].&amp;["&amp;G$9&amp;"]"),0)</f>
        <v>0</v>
      </c>
      <c r="H67" s="9">
        <f>IFERROR(GETPIVOTDATA("[Measures].[Suma de valor]",base!$A$3,"[IF].[departamento_jerarquia2]","[IF].[departamento_jerarquia2].&amp;["&amp;H$5&amp;"]","[IF].[grupo_analisis]","[IF].[grupo_analisis].&amp;["&amp;$B67&amp;"]","[IF].[mes]","[IF].[mes].&amp;["&amp;H$8&amp;"]","[IF].[ano]","[IF].[ano].&amp;["&amp;H$7&amp;"]","[IF].[informacion]","[IF].[informacion].&amp;["&amp;H$9&amp;"]"),0)</f>
        <v>0</v>
      </c>
      <c r="I67" s="9">
        <f>IFERROR(GETPIVOTDATA("[Measures].[Suma de valor]",base!$A$3,"[IF].[departamento_jerarquia2]","[IF].[departamento_jerarquia2].&amp;["&amp;I$5&amp;"]","[IF].[grupo_analisis]","[IF].[grupo_analisis].&amp;["&amp;$B67&amp;"]","[IF].[mes]","[IF].[mes].&amp;["&amp;I$8&amp;"]","[IF].[ano]","[IF].[ano].&amp;["&amp;I$7&amp;"]","[IF].[informacion]","[IF].[informacion].&amp;["&amp;I$9&amp;"]"),0)</f>
        <v>0</v>
      </c>
      <c r="J67" s="9"/>
      <c r="K67" s="9"/>
      <c r="L67" s="12">
        <f t="shared" si="11"/>
        <v>0</v>
      </c>
      <c r="N67" s="12">
        <f t="shared" ref="N67:N72" si="13">L67</f>
        <v>0</v>
      </c>
    </row>
    <row r="68" spans="1:14" x14ac:dyDescent="0.25">
      <c r="B68" t="s">
        <v>205</v>
      </c>
      <c r="C68" s="9">
        <f>IFERROR(GETPIVOTDATA("[Measures].[Suma de valor]",base!$A$3,"[IF].[departamento_jerarquia2]","[IF].[departamento_jerarquia2].&amp;["&amp;C$5&amp;"]","[IF].[grupo_analisis]","[IF].[grupo_analisis].&amp;["&amp;$B68&amp;"]","[IF].[mes]","[IF].[mes].&amp;["&amp;C$8&amp;"]","[IF].[ano]","[IF].[ano].&amp;["&amp;C$7&amp;"]","[IF].[informacion]","[IF].[informacion].&amp;["&amp;C$9&amp;"]"),0)</f>
        <v>0</v>
      </c>
      <c r="D68" s="9">
        <f>IFERROR(GETPIVOTDATA("[Measures].[Suma de valor]",base!$A$3,"[IF].[departamento_jerarquia2]","[IF].[departamento_jerarquia2].&amp;["&amp;D$5&amp;"]","[IF].[grupo_analisis]","[IF].[grupo_analisis].&amp;["&amp;$B68&amp;"]","[IF].[mes]","[IF].[mes].&amp;["&amp;D$8&amp;"]","[IF].[ano]","[IF].[ano].&amp;["&amp;D$7&amp;"]","[IF].[informacion]","[IF].[informacion].&amp;["&amp;D$9&amp;"]"),0)-E68</f>
        <v>0.89640499999999967</v>
      </c>
      <c r="E68" s="9">
        <f>IFERROR(GETPIVOTDATA("[Measures].[Suma de valor]",base!$AN$5,"[IF].[grupo_analisis]","[IF].[grupo_analisis].&amp;["&amp;$B68&amp;"]","[IF].[mes]","[IF].[mes].&amp;["&amp;E$8&amp;"]","[IF].[ano]","[IF].[ano].&amp;["&amp;E$7&amp;"]","[IF].[informacion]","[IF].[informacion].&amp;["&amp;E$9&amp;"]"),0)</f>
        <v>7.121219</v>
      </c>
      <c r="F68" s="9">
        <f>IFERROR(GETPIVOTDATA("[Measures].[Suma de valor]",base!$A$3,"[IF].[departamento_jerarquia2]","[IF].[departamento_jerarquia2].&amp;["&amp;F$5&amp;"]","[IF].[grupo_analisis]","[IF].[grupo_analisis].&amp;["&amp;$B68&amp;"]","[IF].[mes]","[IF].[mes].&amp;["&amp;F$8&amp;"]","[IF].[ano]","[IF].[ano].&amp;["&amp;F$7&amp;"]","[IF].[informacion]","[IF].[informacion].&amp;["&amp;F$9&amp;"]"),0)</f>
        <v>0</v>
      </c>
      <c r="G68" s="9">
        <f>IFERROR(GETPIVOTDATA("[Measures].[Suma de valor]",base!$A$3,"[IF].[departamento_jerarquia2]","[IF].[departamento_jerarquia2].&amp;["&amp;G$5&amp;"]","[IF].[grupo_analisis]","[IF].[grupo_analisis].&amp;["&amp;$B68&amp;"]","[IF].[mes]","[IF].[mes].&amp;["&amp;G$8&amp;"]","[IF].[ano]","[IF].[ano].&amp;["&amp;G$7&amp;"]","[IF].[informacion]","[IF].[informacion].&amp;["&amp;G$9&amp;"]"),0)</f>
        <v>0</v>
      </c>
      <c r="H68" s="9">
        <f>IFERROR(GETPIVOTDATA("[Measures].[Suma de valor]",base!$A$3,"[IF].[departamento_jerarquia2]","[IF].[departamento_jerarquia2].&amp;["&amp;H$5&amp;"]","[IF].[grupo_analisis]","[IF].[grupo_analisis].&amp;["&amp;$B68&amp;"]","[IF].[mes]","[IF].[mes].&amp;["&amp;H$8&amp;"]","[IF].[ano]","[IF].[ano].&amp;["&amp;H$7&amp;"]","[IF].[informacion]","[IF].[informacion].&amp;["&amp;H$9&amp;"]"),0)</f>
        <v>0</v>
      </c>
      <c r="I68" s="9">
        <f>IFERROR(GETPIVOTDATA("[Measures].[Suma de valor]",base!$A$3,"[IF].[departamento_jerarquia2]","[IF].[departamento_jerarquia2].&amp;["&amp;I$5&amp;"]","[IF].[grupo_analisis]","[IF].[grupo_analisis].&amp;["&amp;$B68&amp;"]","[IF].[mes]","[IF].[mes].&amp;["&amp;I$8&amp;"]","[IF].[ano]","[IF].[ano].&amp;["&amp;I$7&amp;"]","[IF].[informacion]","[IF].[informacion].&amp;["&amp;I$9&amp;"]"),0)</f>
        <v>7.8688954399999993</v>
      </c>
      <c r="J68" s="9"/>
      <c r="K68" s="9"/>
      <c r="L68" s="12">
        <f t="shared" si="11"/>
        <v>15.886519439999999</v>
      </c>
      <c r="N68" s="12">
        <f t="shared" si="13"/>
        <v>15.886519439999999</v>
      </c>
    </row>
    <row r="69" spans="1:14" x14ac:dyDescent="0.25">
      <c r="B69" t="s">
        <v>115</v>
      </c>
      <c r="C69" s="9">
        <f>IFERROR(GETPIVOTDATA("[Measures].[Suma de valor]",base!$A$3,"[IF].[departamento_jerarquia2]","[IF].[departamento_jerarquia2].&amp;["&amp;C$5&amp;"]","[IF].[grupo_analisis]","[IF].[grupo_analisis].&amp;["&amp;$B69&amp;"]","[IF].[mes]","[IF].[mes].&amp;["&amp;C$8&amp;"]","[IF].[ano]","[IF].[ano].&amp;["&amp;C$7&amp;"]","[IF].[informacion]","[IF].[informacion].&amp;["&amp;C$9&amp;"]"),0)</f>
        <v>0</v>
      </c>
      <c r="D69" s="9">
        <f>IFERROR(GETPIVOTDATA("[Measures].[Suma de valor]",base!$A$3,"[IF].[departamento_jerarquia2]","[IF].[departamento_jerarquia2].&amp;["&amp;D$5&amp;"]","[IF].[grupo_analisis]","[IF].[grupo_analisis].&amp;["&amp;$B69&amp;"]","[IF].[mes]","[IF].[mes].&amp;["&amp;D$8&amp;"]","[IF].[ano]","[IF].[ano].&amp;["&amp;D$7&amp;"]","[IF].[informacion]","[IF].[informacion].&amp;["&amp;D$9&amp;"]"),0)-E69</f>
        <v>0</v>
      </c>
      <c r="E69" s="9">
        <f>IFERROR(GETPIVOTDATA("[Measures].[Suma de valor]",base!$AN$5,"[IF].[grupo_analisis]","[IF].[grupo_analisis].&amp;["&amp;$B69&amp;"]","[IF].[mes]","[IF].[mes].&amp;["&amp;E$8&amp;"]","[IF].[ano]","[IF].[ano].&amp;["&amp;E$7&amp;"]","[IF].[informacion]","[IF].[informacion].&amp;["&amp;E$9&amp;"]"),0)</f>
        <v>0</v>
      </c>
      <c r="F69" s="9">
        <f>IFERROR(GETPIVOTDATA("[Measures].[Suma de valor]",base!$A$3,"[IF].[departamento_jerarquia2]","[IF].[departamento_jerarquia2].&amp;["&amp;F$5&amp;"]","[IF].[grupo_analisis]","[IF].[grupo_analisis].&amp;["&amp;$B69&amp;"]","[IF].[mes]","[IF].[mes].&amp;["&amp;F$8&amp;"]","[IF].[ano]","[IF].[ano].&amp;["&amp;F$7&amp;"]","[IF].[informacion]","[IF].[informacion].&amp;["&amp;F$9&amp;"]"),0)</f>
        <v>0</v>
      </c>
      <c r="G69" s="9">
        <f>IFERROR(GETPIVOTDATA("[Measures].[Suma de valor]",base!$A$3,"[IF].[departamento_jerarquia2]","[IF].[departamento_jerarquia2].&amp;["&amp;G$5&amp;"]","[IF].[grupo_analisis]","[IF].[grupo_analisis].&amp;["&amp;$B69&amp;"]","[IF].[mes]","[IF].[mes].&amp;["&amp;G$8&amp;"]","[IF].[ano]","[IF].[ano].&amp;["&amp;G$7&amp;"]","[IF].[informacion]","[IF].[informacion].&amp;["&amp;G$9&amp;"]"),0)</f>
        <v>0</v>
      </c>
      <c r="H69" s="9">
        <f>IFERROR(GETPIVOTDATA("[Measures].[Suma de valor]",base!$A$3,"[IF].[departamento_jerarquia2]","[IF].[departamento_jerarquia2].&amp;["&amp;H$5&amp;"]","[IF].[grupo_analisis]","[IF].[grupo_analisis].&amp;["&amp;$B69&amp;"]","[IF].[mes]","[IF].[mes].&amp;["&amp;H$8&amp;"]","[IF].[ano]","[IF].[ano].&amp;["&amp;H$7&amp;"]","[IF].[informacion]","[IF].[informacion].&amp;["&amp;H$9&amp;"]"),0)</f>
        <v>0</v>
      </c>
      <c r="I69" s="9">
        <f>IFERROR(GETPIVOTDATA("[Measures].[Suma de valor]",base!$A$3,"[IF].[departamento_jerarquia2]","[IF].[departamento_jerarquia2].&amp;["&amp;I$5&amp;"]","[IF].[grupo_analisis]","[IF].[grupo_analisis].&amp;["&amp;$B69&amp;"]","[IF].[mes]","[IF].[mes].&amp;["&amp;I$8&amp;"]","[IF].[ano]","[IF].[ano].&amp;["&amp;I$7&amp;"]","[IF].[informacion]","[IF].[informacion].&amp;["&amp;I$9&amp;"]"),0)</f>
        <v>1.734</v>
      </c>
      <c r="J69" s="9"/>
      <c r="K69" s="9"/>
      <c r="L69" s="12">
        <f t="shared" si="11"/>
        <v>1.734</v>
      </c>
      <c r="N69" s="12">
        <f t="shared" si="13"/>
        <v>1.734</v>
      </c>
    </row>
    <row r="70" spans="1:14" x14ac:dyDescent="0.25">
      <c r="B70" t="s">
        <v>103</v>
      </c>
      <c r="C70" s="9">
        <f>IFERROR(GETPIVOTDATA("[Measures].[Suma de valor]",base!$A$3,"[IF].[departamento_jerarquia2]","[IF].[departamento_jerarquia2].&amp;["&amp;C$5&amp;"]","[IF].[grupo_analisis]","[IF].[grupo_analisis].&amp;["&amp;$B70&amp;"]","[IF].[mes]","[IF].[mes].&amp;["&amp;C$8&amp;"]","[IF].[ano]","[IF].[ano].&amp;["&amp;C$7&amp;"]","[IF].[informacion]","[IF].[informacion].&amp;["&amp;C$9&amp;"]"),0)</f>
        <v>0</v>
      </c>
      <c r="D70" s="9">
        <f>IFERROR(GETPIVOTDATA("[Measures].[Suma de valor]",base!$A$3,"[IF].[departamento_jerarquia2]","[IF].[departamento_jerarquia2].&amp;["&amp;D$5&amp;"]","[IF].[grupo_analisis]","[IF].[grupo_analisis].&amp;["&amp;$B70&amp;"]","[IF].[mes]","[IF].[mes].&amp;["&amp;D$8&amp;"]","[IF].[ano]","[IF].[ano].&amp;["&amp;D$7&amp;"]","[IF].[informacion]","[IF].[informacion].&amp;["&amp;D$9&amp;"]"),0)-E70</f>
        <v>0</v>
      </c>
      <c r="E70" s="9">
        <f>IFERROR(GETPIVOTDATA("[Measures].[Suma de valor]",base!$AN$5,"[IF].[grupo_analisis]","[IF].[grupo_analisis].&amp;["&amp;$B70&amp;"]","[IF].[mes]","[IF].[mes].&amp;["&amp;E$8&amp;"]","[IF].[ano]","[IF].[ano].&amp;["&amp;E$7&amp;"]","[IF].[informacion]","[IF].[informacion].&amp;["&amp;E$9&amp;"]"),0)</f>
        <v>0</v>
      </c>
      <c r="F70" s="9">
        <f>IFERROR(GETPIVOTDATA("[Measures].[Suma de valor]",base!$A$3,"[IF].[departamento_jerarquia2]","[IF].[departamento_jerarquia2].&amp;["&amp;F$5&amp;"]","[IF].[grupo_analisis]","[IF].[grupo_analisis].&amp;["&amp;$B70&amp;"]","[IF].[mes]","[IF].[mes].&amp;["&amp;F$8&amp;"]","[IF].[ano]","[IF].[ano].&amp;["&amp;F$7&amp;"]","[IF].[informacion]","[IF].[informacion].&amp;["&amp;F$9&amp;"]"),0)</f>
        <v>0</v>
      </c>
      <c r="G70" s="9">
        <f>IFERROR(GETPIVOTDATA("[Measures].[Suma de valor]",base!$A$3,"[IF].[departamento_jerarquia2]","[IF].[departamento_jerarquia2].&amp;["&amp;G$5&amp;"]","[IF].[grupo_analisis]","[IF].[grupo_analisis].&amp;["&amp;$B70&amp;"]","[IF].[mes]","[IF].[mes].&amp;["&amp;G$8&amp;"]","[IF].[ano]","[IF].[ano].&amp;["&amp;G$7&amp;"]","[IF].[informacion]","[IF].[informacion].&amp;["&amp;G$9&amp;"]"),0)</f>
        <v>0</v>
      </c>
      <c r="H70" s="9">
        <f>IFERROR(GETPIVOTDATA("[Measures].[Suma de valor]",base!$A$3,"[IF].[departamento_jerarquia2]","[IF].[departamento_jerarquia2].&amp;["&amp;H$5&amp;"]","[IF].[grupo_analisis]","[IF].[grupo_analisis].&amp;["&amp;$B70&amp;"]","[IF].[mes]","[IF].[mes].&amp;["&amp;H$8&amp;"]","[IF].[ano]","[IF].[ano].&amp;["&amp;H$7&amp;"]","[IF].[informacion]","[IF].[informacion].&amp;["&amp;H$9&amp;"]"),0)</f>
        <v>0</v>
      </c>
      <c r="I70" s="9">
        <f>IFERROR(GETPIVOTDATA("[Measures].[Suma de valor]",base!$A$3,"[IF].[departamento_jerarquia2]","[IF].[departamento_jerarquia2].&amp;["&amp;I$5&amp;"]","[IF].[grupo_analisis]","[IF].[grupo_analisis].&amp;["&amp;$B70&amp;"]","[IF].[mes]","[IF].[mes].&amp;["&amp;I$8&amp;"]","[IF].[ano]","[IF].[ano].&amp;["&amp;I$7&amp;"]","[IF].[informacion]","[IF].[informacion].&amp;["&amp;I$9&amp;"]"),0)</f>
        <v>0.11106667999999999</v>
      </c>
      <c r="J70" s="9"/>
      <c r="K70" s="9"/>
      <c r="L70" s="12">
        <f t="shared" si="11"/>
        <v>0.11106667999999999</v>
      </c>
      <c r="N70" s="12">
        <f t="shared" si="13"/>
        <v>0.11106667999999999</v>
      </c>
    </row>
    <row r="71" spans="1:14" x14ac:dyDescent="0.25">
      <c r="B71" t="s">
        <v>206</v>
      </c>
      <c r="C71" s="9">
        <f>IFERROR(GETPIVOTDATA("[Measures].[Suma de valor]",base!$A$3,"[IF].[departamento_jerarquia2]","[IF].[departamento_jerarquia2].&amp;["&amp;C$5&amp;"]","[IF].[grupo_analisis]","[IF].[grupo_analisis].&amp;["&amp;$B71&amp;"]","[IF].[mes]","[IF].[mes].&amp;["&amp;C$8&amp;"]","[IF].[ano]","[IF].[ano].&amp;["&amp;C$7&amp;"]","[IF].[informacion]","[IF].[informacion].&amp;["&amp;C$9&amp;"]"),0)</f>
        <v>0</v>
      </c>
      <c r="D71" s="9">
        <f>IFERROR(GETPIVOTDATA("[Measures].[Suma de valor]",base!$A$3,"[IF].[departamento_jerarquia2]","[IF].[departamento_jerarquia2].&amp;["&amp;D$5&amp;"]","[IF].[grupo_analisis]","[IF].[grupo_analisis].&amp;["&amp;$B71&amp;"]","[IF].[mes]","[IF].[mes].&amp;["&amp;D$8&amp;"]","[IF].[ano]","[IF].[ano].&amp;["&amp;D$7&amp;"]","[IF].[informacion]","[IF].[informacion].&amp;["&amp;D$9&amp;"]"),0)-E71</f>
        <v>0</v>
      </c>
      <c r="E71" s="9">
        <f>IFERROR(GETPIVOTDATA("[Measures].[Suma de valor]",base!$AN$5,"[IF].[grupo_analisis]","[IF].[grupo_analisis].&amp;["&amp;$B71&amp;"]","[IF].[mes]","[IF].[mes].&amp;["&amp;E$8&amp;"]","[IF].[ano]","[IF].[ano].&amp;["&amp;E$7&amp;"]","[IF].[informacion]","[IF].[informacion].&amp;["&amp;E$9&amp;"]"),0)</f>
        <v>0</v>
      </c>
      <c r="F71" s="9">
        <f>IFERROR(GETPIVOTDATA("[Measures].[Suma de valor]",base!$A$3,"[IF].[departamento_jerarquia2]","[IF].[departamento_jerarquia2].&amp;["&amp;F$5&amp;"]","[IF].[grupo_analisis]","[IF].[grupo_analisis].&amp;["&amp;$B71&amp;"]","[IF].[mes]","[IF].[mes].&amp;["&amp;F$8&amp;"]","[IF].[ano]","[IF].[ano].&amp;["&amp;F$7&amp;"]","[IF].[informacion]","[IF].[informacion].&amp;["&amp;F$9&amp;"]"),0)</f>
        <v>0</v>
      </c>
      <c r="G71" s="9">
        <f>IFERROR(GETPIVOTDATA("[Measures].[Suma de valor]",base!$A$3,"[IF].[departamento_jerarquia2]","[IF].[departamento_jerarquia2].&amp;["&amp;G$5&amp;"]","[IF].[grupo_analisis]","[IF].[grupo_analisis].&amp;["&amp;$B71&amp;"]","[IF].[mes]","[IF].[mes].&amp;["&amp;G$8&amp;"]","[IF].[ano]","[IF].[ano].&amp;["&amp;G$7&amp;"]","[IF].[informacion]","[IF].[informacion].&amp;["&amp;G$9&amp;"]"),0)</f>
        <v>0</v>
      </c>
      <c r="H71" s="9">
        <f>IFERROR(GETPIVOTDATA("[Measures].[Suma de valor]",base!$A$3,"[IF].[departamento_jerarquia2]","[IF].[departamento_jerarquia2].&amp;["&amp;H$5&amp;"]","[IF].[grupo_analisis]","[IF].[grupo_analisis].&amp;["&amp;$B71&amp;"]","[IF].[mes]","[IF].[mes].&amp;["&amp;H$8&amp;"]","[IF].[ano]","[IF].[ano].&amp;["&amp;H$7&amp;"]","[IF].[informacion]","[IF].[informacion].&amp;["&amp;H$9&amp;"]"),0)</f>
        <v>0</v>
      </c>
      <c r="I71" s="9">
        <f>IFERROR(GETPIVOTDATA("[Measures].[Suma de valor]",base!$A$3,"[IF].[departamento_jerarquia2]","[IF].[departamento_jerarquia2].&amp;["&amp;I$5&amp;"]","[IF].[grupo_analisis]","[IF].[grupo_analisis].&amp;["&amp;$B71&amp;"]","[IF].[mes]","[IF].[mes].&amp;["&amp;I$8&amp;"]","[IF].[ano]","[IF].[ano].&amp;["&amp;I$7&amp;"]","[IF].[informacion]","[IF].[informacion].&amp;["&amp;I$9&amp;"]"),0)</f>
        <v>0</v>
      </c>
      <c r="J71" s="9"/>
      <c r="K71" s="9"/>
      <c r="L71" s="12">
        <f t="shared" si="11"/>
        <v>0</v>
      </c>
      <c r="N71" s="12">
        <f t="shared" si="13"/>
        <v>0</v>
      </c>
    </row>
    <row r="72" spans="1:14" x14ac:dyDescent="0.25">
      <c r="B72" t="s">
        <v>102</v>
      </c>
      <c r="C72" s="9">
        <f>IFERROR(GETPIVOTDATA("[Measures].[Suma de valor]",base!$A$3,"[IF].[departamento_jerarquia2]","[IF].[departamento_jerarquia2].&amp;["&amp;C$5&amp;"]","[IF].[grupo_analisis]","[IF].[grupo_analisis].&amp;["&amp;$B72&amp;"]","[IF].[mes]","[IF].[mes].&amp;["&amp;C$8&amp;"]","[IF].[ano]","[IF].[ano].&amp;["&amp;C$7&amp;"]","[IF].[informacion]","[IF].[informacion].&amp;["&amp;C$9&amp;"]"),0)</f>
        <v>0</v>
      </c>
      <c r="D72" s="9">
        <f>IFERROR(GETPIVOTDATA("[Measures].[Suma de valor]",base!$A$3,"[IF].[departamento_jerarquia2]","[IF].[departamento_jerarquia2].&amp;["&amp;D$5&amp;"]","[IF].[grupo_analisis]","[IF].[grupo_analisis].&amp;["&amp;$B72&amp;"]","[IF].[mes]","[IF].[mes].&amp;["&amp;D$8&amp;"]","[IF].[ano]","[IF].[ano].&amp;["&amp;D$7&amp;"]","[IF].[informacion]","[IF].[informacion].&amp;["&amp;D$9&amp;"]"),0)-E72</f>
        <v>0</v>
      </c>
      <c r="E72" s="9">
        <f>IFERROR(GETPIVOTDATA("[Measures].[Suma de valor]",base!$AN$5,"[IF].[grupo_analisis]","[IF].[grupo_analisis].&amp;["&amp;$B72&amp;"]","[IF].[mes]","[IF].[mes].&amp;["&amp;E$8&amp;"]","[IF].[ano]","[IF].[ano].&amp;["&amp;E$7&amp;"]","[IF].[informacion]","[IF].[informacion].&amp;["&amp;E$9&amp;"]"),0)</f>
        <v>0</v>
      </c>
      <c r="F72" s="9">
        <f>IFERROR(GETPIVOTDATA("[Measures].[Suma de valor]",base!$A$3,"[IF].[departamento_jerarquia2]","[IF].[departamento_jerarquia2].&amp;["&amp;F$5&amp;"]","[IF].[grupo_analisis]","[IF].[grupo_analisis].&amp;["&amp;$B72&amp;"]","[IF].[mes]","[IF].[mes].&amp;["&amp;F$8&amp;"]","[IF].[ano]","[IF].[ano].&amp;["&amp;F$7&amp;"]","[IF].[informacion]","[IF].[informacion].&amp;["&amp;F$9&amp;"]"),0)</f>
        <v>0</v>
      </c>
      <c r="G72" s="9">
        <f>IFERROR(GETPIVOTDATA("[Measures].[Suma de valor]",base!$A$3,"[IF].[departamento_jerarquia2]","[IF].[departamento_jerarquia2].&amp;["&amp;G$5&amp;"]","[IF].[grupo_analisis]","[IF].[grupo_analisis].&amp;["&amp;$B72&amp;"]","[IF].[mes]","[IF].[mes].&amp;["&amp;G$8&amp;"]","[IF].[ano]","[IF].[ano].&amp;["&amp;G$7&amp;"]","[IF].[informacion]","[IF].[informacion].&amp;["&amp;G$9&amp;"]"),0)</f>
        <v>0</v>
      </c>
      <c r="H72" s="9">
        <f>IFERROR(GETPIVOTDATA("[Measures].[Suma de valor]",base!$A$3,"[IF].[departamento_jerarquia2]","[IF].[departamento_jerarquia2].&amp;["&amp;H$5&amp;"]","[IF].[grupo_analisis]","[IF].[grupo_analisis].&amp;["&amp;$B72&amp;"]","[IF].[mes]","[IF].[mes].&amp;["&amp;H$8&amp;"]","[IF].[ano]","[IF].[ano].&amp;["&amp;H$7&amp;"]","[IF].[informacion]","[IF].[informacion].&amp;["&amp;H$9&amp;"]"),0)</f>
        <v>0</v>
      </c>
      <c r="I72" s="9">
        <f>IFERROR(GETPIVOTDATA("[Measures].[Suma de valor]",base!$A$3,"[IF].[departamento_jerarquia2]","[IF].[departamento_jerarquia2].&amp;["&amp;I$5&amp;"]","[IF].[grupo_analisis]","[IF].[grupo_analisis].&amp;["&amp;$B72&amp;"]","[IF].[mes]","[IF].[mes].&amp;["&amp;I$8&amp;"]","[IF].[ano]","[IF].[ano].&amp;["&amp;I$7&amp;"]","[IF].[informacion]","[IF].[informacion].&amp;["&amp;I$9&amp;"]"),0)</f>
        <v>0</v>
      </c>
      <c r="J72" s="9"/>
      <c r="K72" s="9"/>
      <c r="L72" s="12">
        <f t="shared" si="11"/>
        <v>0</v>
      </c>
      <c r="N72" s="12">
        <f t="shared" si="13"/>
        <v>0</v>
      </c>
    </row>
    <row r="73" spans="1:14" x14ac:dyDescent="0.25">
      <c r="B73" s="14" t="s">
        <v>207</v>
      </c>
      <c r="C73" s="15">
        <f t="shared" ref="C73:L73" si="14">SUM(C41:C47,C67:C72)</f>
        <v>0</v>
      </c>
      <c r="D73" s="15">
        <f t="shared" si="14"/>
        <v>245.05627799999999</v>
      </c>
      <c r="E73" s="15">
        <f t="shared" si="14"/>
        <v>948.10439943000006</v>
      </c>
      <c r="F73" s="15">
        <f t="shared" si="14"/>
        <v>0</v>
      </c>
      <c r="G73" s="15">
        <f t="shared" si="14"/>
        <v>0</v>
      </c>
      <c r="H73" s="15">
        <f t="shared" si="14"/>
        <v>0</v>
      </c>
      <c r="I73" s="15">
        <f t="shared" si="14"/>
        <v>686.58922229999996</v>
      </c>
      <c r="J73" s="15"/>
      <c r="K73" s="15"/>
      <c r="L73" s="16">
        <f t="shared" si="14"/>
        <v>1879.7498997299997</v>
      </c>
      <c r="N73" s="16">
        <f>SUM(N41:N47,N67:N72)</f>
        <v>1842.6554267299998</v>
      </c>
    </row>
    <row r="74" spans="1:14" x14ac:dyDescent="0.25">
      <c r="L74" s="3">
        <f>+L48+L66</f>
        <v>773.31035000000008</v>
      </c>
      <c r="M74" s="3">
        <f>+L74-'A-0'!DG75</f>
        <v>158.53496897025423</v>
      </c>
    </row>
    <row r="75" spans="1:14" x14ac:dyDescent="0.25">
      <c r="B75" s="14" t="s">
        <v>208</v>
      </c>
      <c r="C75" s="15">
        <f t="shared" ref="C75:L75" si="15">C39-C73</f>
        <v>0</v>
      </c>
      <c r="D75" s="15">
        <f t="shared" si="15"/>
        <v>-116.98697299999998</v>
      </c>
      <c r="E75" s="15">
        <f t="shared" si="15"/>
        <v>71.808916569999951</v>
      </c>
      <c r="F75" s="15">
        <f t="shared" si="15"/>
        <v>0</v>
      </c>
      <c r="G75" s="15">
        <f t="shared" si="15"/>
        <v>0</v>
      </c>
      <c r="H75" s="15">
        <f t="shared" si="15"/>
        <v>0</v>
      </c>
      <c r="I75" s="15">
        <f t="shared" si="15"/>
        <v>215.20378736000021</v>
      </c>
      <c r="J75" s="15"/>
      <c r="K75" s="15"/>
      <c r="L75" s="16">
        <f t="shared" si="15"/>
        <v>170.02573093000024</v>
      </c>
      <c r="N75" s="16">
        <f>N39-N73</f>
        <v>170.02573093000024</v>
      </c>
    </row>
    <row r="77" spans="1:14" x14ac:dyDescent="0.25">
      <c r="B77" t="s">
        <v>112</v>
      </c>
      <c r="C77" s="9">
        <f>IFERROR(GETPIVOTDATA("[Measures].[Suma de valor]",base!$A$3,"[IF].[departamento_jerarquia2]","[IF].[departamento_jerarquia2].&amp;["&amp;C$5&amp;"]","[IF].[grupo_analisis]","[IF].[grupo_analisis].&amp;["&amp;$B77&amp;"]","[IF].[mes]","[IF].[mes].&amp;["&amp;C$8&amp;"]","[IF].[ano]","[IF].[ano].&amp;["&amp;C$7&amp;"]","[IF].[informacion]","[IF].[informacion].&amp;["&amp;C$9&amp;"]"),0)</f>
        <v>0</v>
      </c>
      <c r="D77" s="9">
        <f>IFERROR(GETPIVOTDATA("[Measures].[Suma de valor]",base!$A$3,"[IF].[departamento_jerarquia2]","[IF].[departamento_jerarquia2].&amp;["&amp;D$5&amp;"]","[IF].[grupo_analisis]","[IF].[grupo_analisis].&amp;["&amp;$B77&amp;"]","[IF].[mes]","[IF].[mes].&amp;["&amp;D$8&amp;"]","[IF].[ano]","[IF].[ano].&amp;["&amp;D$7&amp;"]","[IF].[informacion]","[IF].[informacion].&amp;["&amp;D$9&amp;"]"),0)-E77</f>
        <v>0.72177200000000008</v>
      </c>
      <c r="E77" s="9">
        <f>IFERROR(GETPIVOTDATA("[Measures].[Suma de valor]",base!$AN$5,"[IF].[grupo_analisis]","[IF].[grupo_analisis].&amp;["&amp;$B77&amp;"]","[IF].[mes]","[IF].[mes].&amp;["&amp;E$8&amp;"]","[IF].[ano]","[IF].[ano].&amp;["&amp;E$7&amp;"]","[IF].[informacion]","[IF].[informacion].&amp;["&amp;E$9&amp;"]"),0)</f>
        <v>3.2514867999999999</v>
      </c>
      <c r="F77" s="9">
        <f>IFERROR(GETPIVOTDATA("[Measures].[Suma de valor]",base!$A$3,"[IF].[departamento_jerarquia2]","[IF].[departamento_jerarquia2].&amp;["&amp;F$5&amp;"]","[IF].[grupo_analisis]","[IF].[grupo_analisis].&amp;["&amp;$B77&amp;"]","[IF].[mes]","[IF].[mes].&amp;["&amp;F$8&amp;"]","[IF].[ano]","[IF].[ano].&amp;["&amp;F$7&amp;"]","[IF].[informacion]","[IF].[informacion].&amp;["&amp;F$9&amp;"]"),0)</f>
        <v>0</v>
      </c>
      <c r="G77" s="9">
        <f>IFERROR(GETPIVOTDATA("[Measures].[Suma de valor]",base!$A$3,"[IF].[departamento_jerarquia2]","[IF].[departamento_jerarquia2].&amp;["&amp;G$5&amp;"]","[IF].[grupo_analisis]","[IF].[grupo_analisis].&amp;["&amp;$B77&amp;"]","[IF].[mes]","[IF].[mes].&amp;["&amp;G$8&amp;"]","[IF].[ano]","[IF].[ano].&amp;["&amp;G$7&amp;"]","[IF].[informacion]","[IF].[informacion].&amp;["&amp;G$9&amp;"]"),0)</f>
        <v>0</v>
      </c>
      <c r="H77" s="9">
        <f>IFERROR(GETPIVOTDATA("[Measures].[Suma de valor]",base!$A$3,"[IF].[departamento_jerarquia2]","[IF].[departamento_jerarquia2].&amp;["&amp;H$5&amp;"]","[IF].[grupo_analisis]","[IF].[grupo_analisis].&amp;["&amp;$B77&amp;"]","[IF].[mes]","[IF].[mes].&amp;["&amp;H$8&amp;"]","[IF].[ano]","[IF].[ano].&amp;["&amp;H$7&amp;"]","[IF].[informacion]","[IF].[informacion].&amp;["&amp;H$9&amp;"]"),0)</f>
        <v>0</v>
      </c>
      <c r="I77" s="9">
        <f>IFERROR(GETPIVOTDATA("[Measures].[Suma de valor]",base!$A$3,"[IF].[departamento_jerarquia2]","[IF].[departamento_jerarquia2].&amp;["&amp;I$5&amp;"]","[IF].[grupo_analisis]","[IF].[grupo_analisis].&amp;["&amp;$B77&amp;"]","[IF].[mes]","[IF].[mes].&amp;["&amp;I$8&amp;"]","[IF].[ano]","[IF].[ano].&amp;["&amp;I$7&amp;"]","[IF].[informacion]","[IF].[informacion].&amp;["&amp;I$9&amp;"]"),0)</f>
        <v>0.10284453</v>
      </c>
      <c r="J77" s="9"/>
      <c r="K77" s="9"/>
      <c r="L77" s="12">
        <f>SUM(C77:K77)</f>
        <v>4.0761033299999996</v>
      </c>
      <c r="N77" s="12">
        <f>L77</f>
        <v>4.0761033299999996</v>
      </c>
    </row>
    <row r="78" spans="1:14" x14ac:dyDescent="0.25">
      <c r="B78" t="s">
        <v>114</v>
      </c>
      <c r="C78" s="9">
        <f>IFERROR(GETPIVOTDATA("[Measures].[Suma de valor]",base!$A$3,"[IF].[departamento_jerarquia2]","[IF].[departamento_jerarquia2].&amp;["&amp;C$5&amp;"]","[IF].[grupo_analisis]","[IF].[grupo_analisis].&amp;["&amp;$B78&amp;"]","[IF].[mes]","[IF].[mes].&amp;["&amp;C$8&amp;"]","[IF].[ano]","[IF].[ano].&amp;["&amp;C$7&amp;"]","[IF].[informacion]","[IF].[informacion].&amp;["&amp;C$9&amp;"]"),0)</f>
        <v>0</v>
      </c>
      <c r="D78" s="9">
        <f>IFERROR(GETPIVOTDATA("[Measures].[Suma de valor]",base!$A$3,"[IF].[departamento_jerarquia2]","[IF].[departamento_jerarquia2].&amp;["&amp;D$5&amp;"]","[IF].[grupo_analisis]","[IF].[grupo_analisis].&amp;["&amp;$B78&amp;"]","[IF].[mes]","[IF].[mes].&amp;["&amp;D$8&amp;"]","[IF].[ano]","[IF].[ano].&amp;["&amp;D$7&amp;"]","[IF].[informacion]","[IF].[informacion].&amp;["&amp;D$9&amp;"]"),0)-E78</f>
        <v>0</v>
      </c>
      <c r="E78" s="9">
        <f>IFERROR(GETPIVOTDATA("[Measures].[Suma de valor]",base!$AN$5,"[IF].[grupo_analisis]","[IF].[grupo_analisis].&amp;["&amp;$B78&amp;"]","[IF].[mes]","[IF].[mes].&amp;["&amp;E$8&amp;"]","[IF].[ano]","[IF].[ano].&amp;["&amp;E$7&amp;"]","[IF].[informacion]","[IF].[informacion].&amp;["&amp;E$9&amp;"]"),0)</f>
        <v>0</v>
      </c>
      <c r="F78" s="9">
        <f>IFERROR(GETPIVOTDATA("[Measures].[Suma de valor]",base!$A$3,"[IF].[departamento_jerarquia2]","[IF].[departamento_jerarquia2].&amp;["&amp;F$5&amp;"]","[IF].[grupo_analisis]","[IF].[grupo_analisis].&amp;["&amp;$B78&amp;"]","[IF].[mes]","[IF].[mes].&amp;["&amp;F$8&amp;"]","[IF].[ano]","[IF].[ano].&amp;["&amp;F$7&amp;"]","[IF].[informacion]","[IF].[informacion].&amp;["&amp;F$9&amp;"]"),0)</f>
        <v>0</v>
      </c>
      <c r="G78" s="9">
        <f>IFERROR(GETPIVOTDATA("[Measures].[Suma de valor]",base!$A$3,"[IF].[departamento_jerarquia2]","[IF].[departamento_jerarquia2].&amp;["&amp;G$5&amp;"]","[IF].[grupo_analisis]","[IF].[grupo_analisis].&amp;["&amp;$B78&amp;"]","[IF].[mes]","[IF].[mes].&amp;["&amp;G$8&amp;"]","[IF].[ano]","[IF].[ano].&amp;["&amp;G$7&amp;"]","[IF].[informacion]","[IF].[informacion].&amp;["&amp;G$9&amp;"]"),0)</f>
        <v>0</v>
      </c>
      <c r="H78" s="9">
        <f>IFERROR(GETPIVOTDATA("[Measures].[Suma de valor]",base!$A$3,"[IF].[departamento_jerarquia2]","[IF].[departamento_jerarquia2].&amp;["&amp;H$5&amp;"]","[IF].[grupo_analisis]","[IF].[grupo_analisis].&amp;["&amp;$B78&amp;"]","[IF].[mes]","[IF].[mes].&amp;["&amp;H$8&amp;"]","[IF].[ano]","[IF].[ano].&amp;["&amp;H$7&amp;"]","[IF].[informacion]","[IF].[informacion].&amp;["&amp;H$9&amp;"]"),0)</f>
        <v>0</v>
      </c>
      <c r="I78" s="9">
        <f>IFERROR(GETPIVOTDATA("[Measures].[Suma de valor]",base!$A$3,"[IF].[departamento_jerarquia2]","[IF].[departamento_jerarquia2].&amp;["&amp;I$5&amp;"]","[IF].[grupo_analisis]","[IF].[grupo_analisis].&amp;["&amp;$B78&amp;"]","[IF].[mes]","[IF].[mes].&amp;["&amp;I$8&amp;"]","[IF].[ano]","[IF].[ano].&amp;["&amp;I$7&amp;"]","[IF].[informacion]","[IF].[informacion].&amp;["&amp;I$9&amp;"]"),0)</f>
        <v>0</v>
      </c>
      <c r="J78" s="9"/>
      <c r="K78" s="9"/>
      <c r="L78" s="12">
        <f>SUM(C78:K78)</f>
        <v>0</v>
      </c>
      <c r="N78" s="12">
        <f>L78</f>
        <v>0</v>
      </c>
    </row>
    <row r="79" spans="1:14" x14ac:dyDescent="0.25">
      <c r="B79" t="s">
        <v>104</v>
      </c>
      <c r="C79" s="9">
        <f>IFERROR(GETPIVOTDATA("[Measures].[Suma de valor]",base!$A$3,"[IF].[departamento_jerarquia2]","[IF].[departamento_jerarquia2].&amp;["&amp;C$5&amp;"]","[IF].[grupo_analisis]","[IF].[grupo_analisis].&amp;["&amp;$B79&amp;"]","[IF].[mes]","[IF].[mes].&amp;["&amp;C$8&amp;"]","[IF].[ano]","[IF].[ano].&amp;["&amp;C$7&amp;"]","[IF].[informacion]","[IF].[informacion].&amp;["&amp;C$9&amp;"]"),0)</f>
        <v>0</v>
      </c>
      <c r="D79" s="9">
        <f>IFERROR(GETPIVOTDATA("[Measures].[Suma de valor]",base!$A$3,"[IF].[departamento_jerarquia2]","[IF].[departamento_jerarquia2].&amp;["&amp;D$5&amp;"]","[IF].[grupo_analisis]","[IF].[grupo_analisis].&amp;["&amp;$B79&amp;"]","[IF].[mes]","[IF].[mes].&amp;["&amp;D$8&amp;"]","[IF].[ano]","[IF].[ano].&amp;["&amp;D$7&amp;"]","[IF].[informacion]","[IF].[informacion].&amp;["&amp;D$9&amp;"]"),0)-E79</f>
        <v>0</v>
      </c>
      <c r="E79" s="9">
        <f>IFERROR(GETPIVOTDATA("[Measures].[Suma de valor]",base!$AN$5,"[IF].[grupo_analisis]","[IF].[grupo_analisis].&amp;["&amp;$B79&amp;"]","[IF].[mes]","[IF].[mes].&amp;["&amp;E$8&amp;"]","[IF].[ano]","[IF].[ano].&amp;["&amp;E$7&amp;"]","[IF].[informacion]","[IF].[informacion].&amp;["&amp;E$9&amp;"]"),0)</f>
        <v>0</v>
      </c>
      <c r="F79" s="9">
        <f>IFERROR(GETPIVOTDATA("[Measures].[Suma de valor]",base!$A$3,"[IF].[departamento_jerarquia2]","[IF].[departamento_jerarquia2].&amp;["&amp;F$5&amp;"]","[IF].[grupo_analisis]","[IF].[grupo_analisis].&amp;["&amp;$B79&amp;"]","[IF].[mes]","[IF].[mes].&amp;["&amp;F$8&amp;"]","[IF].[ano]","[IF].[ano].&amp;["&amp;F$7&amp;"]","[IF].[informacion]","[IF].[informacion].&amp;["&amp;F$9&amp;"]"),0)</f>
        <v>0</v>
      </c>
      <c r="G79" s="9">
        <f>IFERROR(GETPIVOTDATA("[Measures].[Suma de valor]",base!$A$3,"[IF].[departamento_jerarquia2]","[IF].[departamento_jerarquia2].&amp;["&amp;G$5&amp;"]","[IF].[grupo_analisis]","[IF].[grupo_analisis].&amp;["&amp;$B79&amp;"]","[IF].[mes]","[IF].[mes].&amp;["&amp;G$8&amp;"]","[IF].[ano]","[IF].[ano].&amp;["&amp;G$7&amp;"]","[IF].[informacion]","[IF].[informacion].&amp;["&amp;G$9&amp;"]"),0)</f>
        <v>0</v>
      </c>
      <c r="H79" s="9">
        <f>IFERROR(GETPIVOTDATA("[Measures].[Suma de valor]",base!$A$3,"[IF].[departamento_jerarquia2]","[IF].[departamento_jerarquia2].&amp;["&amp;H$5&amp;"]","[IF].[grupo_analisis]","[IF].[grupo_analisis].&amp;["&amp;$B79&amp;"]","[IF].[mes]","[IF].[mes].&amp;["&amp;H$8&amp;"]","[IF].[ano]","[IF].[ano].&amp;["&amp;H$7&amp;"]","[IF].[informacion]","[IF].[informacion].&amp;["&amp;H$9&amp;"]"),0)</f>
        <v>0</v>
      </c>
      <c r="I79" s="9">
        <f>IFERROR(GETPIVOTDATA("[Measures].[Suma de valor]",base!$A$3,"[IF].[departamento_jerarquia2]","[IF].[departamento_jerarquia2].&amp;["&amp;I$5&amp;"]","[IF].[grupo_analisis]","[IF].[grupo_analisis].&amp;["&amp;$B79&amp;"]","[IF].[mes]","[IF].[mes].&amp;["&amp;I$8&amp;"]","[IF].[ano]","[IF].[ano].&amp;["&amp;I$7&amp;"]","[IF].[informacion]","[IF].[informacion].&amp;["&amp;I$9&amp;"]"),0)</f>
        <v>0</v>
      </c>
      <c r="J79" s="9"/>
      <c r="K79" s="9"/>
      <c r="L79" s="12">
        <f>SUM(C79:K79)</f>
        <v>0</v>
      </c>
      <c r="N79" s="12">
        <f>L79</f>
        <v>0</v>
      </c>
    </row>
    <row r="80" spans="1:14" x14ac:dyDescent="0.25">
      <c r="B80" s="14" t="s">
        <v>209</v>
      </c>
      <c r="C80" s="15">
        <f t="shared" ref="C80:L80" si="16">SUM(C77:C79)</f>
        <v>0</v>
      </c>
      <c r="D80" s="15">
        <f t="shared" si="16"/>
        <v>0.72177200000000008</v>
      </c>
      <c r="E80" s="15">
        <f t="shared" si="16"/>
        <v>3.2514867999999999</v>
      </c>
      <c r="F80" s="15">
        <f t="shared" si="16"/>
        <v>0</v>
      </c>
      <c r="G80" s="15">
        <f t="shared" si="16"/>
        <v>0</v>
      </c>
      <c r="H80" s="15">
        <f t="shared" si="16"/>
        <v>0</v>
      </c>
      <c r="I80" s="15">
        <f t="shared" si="16"/>
        <v>0.10284453</v>
      </c>
      <c r="J80" s="15"/>
      <c r="K80" s="15"/>
      <c r="L80" s="16">
        <f t="shared" si="16"/>
        <v>4.0761033299999996</v>
      </c>
      <c r="N80" s="16">
        <f>SUM(N77:N79)</f>
        <v>4.0761033299999996</v>
      </c>
    </row>
    <row r="82" spans="2:14" x14ac:dyDescent="0.25">
      <c r="B82" t="s">
        <v>107</v>
      </c>
      <c r="C82" s="9">
        <f>IFERROR(GETPIVOTDATA("[Measures].[Suma de valor]",base!$A$3,"[IF].[departamento_jerarquia2]","[IF].[departamento_jerarquia2].&amp;["&amp;C$5&amp;"]","[IF].[grupo_analisis]","[IF].[grupo_analisis].&amp;["&amp;$B82&amp;"]","[IF].[mes]","[IF].[mes].&amp;["&amp;C$8&amp;"]","[IF].[ano]","[IF].[ano].&amp;["&amp;C$7&amp;"]","[IF].[informacion]","[IF].[informacion].&amp;["&amp;C$9&amp;"]"),0)</f>
        <v>0</v>
      </c>
      <c r="D82" s="9">
        <f>IFERROR(GETPIVOTDATA("[Measures].[Suma de valor]",base!$A$3,"[IF].[departamento_jerarquia2]","[IF].[departamento_jerarquia2].&amp;["&amp;D$5&amp;"]","[IF].[grupo_analisis]","[IF].[grupo_analisis].&amp;["&amp;$B82&amp;"]","[IF].[mes]","[IF].[mes].&amp;["&amp;D$8&amp;"]","[IF].[ano]","[IF].[ano].&amp;["&amp;D$7&amp;"]","[IF].[informacion]","[IF].[informacion].&amp;["&amp;D$9&amp;"]"),0)-E82</f>
        <v>0</v>
      </c>
      <c r="E82" s="9">
        <f>IFERROR(GETPIVOTDATA("[Measures].[Suma de valor]",base!$AN$5,"[IF].[grupo_analisis]","[IF].[grupo_analisis].&amp;["&amp;$B82&amp;"]","[IF].[mes]","[IF].[mes].&amp;["&amp;E$8&amp;"]","[IF].[ano]","[IF].[ano].&amp;["&amp;E$7&amp;"]","[IF].[informacion]","[IF].[informacion].&amp;["&amp;E$9&amp;"]"),0)</f>
        <v>0.56512209000000002</v>
      </c>
      <c r="F82" s="9">
        <f>IFERROR(GETPIVOTDATA("[Measures].[Suma de valor]",base!$A$3,"[IF].[departamento_jerarquia2]","[IF].[departamento_jerarquia2].&amp;["&amp;F$5&amp;"]","[IF].[grupo_analisis]","[IF].[grupo_analisis].&amp;["&amp;$B82&amp;"]","[IF].[mes]","[IF].[mes].&amp;["&amp;F$8&amp;"]","[IF].[ano]","[IF].[ano].&amp;["&amp;F$7&amp;"]","[IF].[informacion]","[IF].[informacion].&amp;["&amp;F$9&amp;"]"),0)</f>
        <v>0</v>
      </c>
      <c r="G82" s="9">
        <f>IFERROR(GETPIVOTDATA("[Measures].[Suma de valor]",base!$A$3,"[IF].[departamento_jerarquia2]","[IF].[departamento_jerarquia2].&amp;["&amp;G$5&amp;"]","[IF].[grupo_analisis]","[IF].[grupo_analisis].&amp;["&amp;$B82&amp;"]","[IF].[mes]","[IF].[mes].&amp;["&amp;G$8&amp;"]","[IF].[ano]","[IF].[ano].&amp;["&amp;G$7&amp;"]","[IF].[informacion]","[IF].[informacion].&amp;["&amp;G$9&amp;"]"),0)</f>
        <v>0</v>
      </c>
      <c r="H82" s="9">
        <f>IFERROR(GETPIVOTDATA("[Measures].[Suma de valor]",base!$A$3,"[IF].[departamento_jerarquia2]","[IF].[departamento_jerarquia2].&amp;["&amp;H$5&amp;"]","[IF].[grupo_analisis]","[IF].[grupo_analisis].&amp;["&amp;$B82&amp;"]","[IF].[mes]","[IF].[mes].&amp;["&amp;H$8&amp;"]","[IF].[ano]","[IF].[ano].&amp;["&amp;H$7&amp;"]","[IF].[informacion]","[IF].[informacion].&amp;["&amp;H$9&amp;"]"),0)</f>
        <v>0</v>
      </c>
      <c r="I82" s="9">
        <f>IFERROR(GETPIVOTDATA("[Measures].[Suma de valor]",base!$A$3,"[IF].[departamento_jerarquia2]","[IF].[departamento_jerarquia2].&amp;["&amp;I$5&amp;"]","[IF].[grupo_analisis]","[IF].[grupo_analisis].&amp;["&amp;$B82&amp;"]","[IF].[mes]","[IF].[mes].&amp;["&amp;I$8&amp;"]","[IF].[ano]","[IF].[ano].&amp;["&amp;I$7&amp;"]","[IF].[informacion]","[IF].[informacion].&amp;["&amp;I$9&amp;"]"),0)</f>
        <v>0.31585795</v>
      </c>
      <c r="J82" s="9"/>
      <c r="K82" s="9"/>
      <c r="L82" s="12">
        <f>SUM(C82:K82)</f>
        <v>0.88098004000000008</v>
      </c>
      <c r="N82" s="12">
        <f>L82</f>
        <v>0.88098004000000008</v>
      </c>
    </row>
    <row r="83" spans="2:14" x14ac:dyDescent="0.25">
      <c r="B83" t="s">
        <v>110</v>
      </c>
      <c r="C83" s="9">
        <f>IFERROR(GETPIVOTDATA("[Measures].[Suma de valor]",base!$A$3,"[IF].[departamento_jerarquia2]","[IF].[departamento_jerarquia2].&amp;["&amp;C$5&amp;"]","[IF].[grupo_analisis]","[IF].[grupo_analisis].&amp;["&amp;$B83&amp;"]","[IF].[mes]","[IF].[mes].&amp;["&amp;C$8&amp;"]","[IF].[ano]","[IF].[ano].&amp;["&amp;C$7&amp;"]","[IF].[informacion]","[IF].[informacion].&amp;["&amp;C$9&amp;"]"),0)</f>
        <v>0</v>
      </c>
      <c r="D83" s="9">
        <f>IFERROR(GETPIVOTDATA("[Measures].[Suma de valor]",base!$A$3,"[IF].[departamento_jerarquia2]","[IF].[departamento_jerarquia2].&amp;["&amp;D$5&amp;"]","[IF].[grupo_analisis]","[IF].[grupo_analisis].&amp;["&amp;$B83&amp;"]","[IF].[mes]","[IF].[mes].&amp;["&amp;D$8&amp;"]","[IF].[ano]","[IF].[ano].&amp;["&amp;D$7&amp;"]","[IF].[informacion]","[IF].[informacion].&amp;["&amp;D$9&amp;"]"),0)-E83</f>
        <v>0</v>
      </c>
      <c r="E83" s="9">
        <f>IFERROR(GETPIVOTDATA("[Measures].[Suma de valor]",base!$AN$5,"[IF].[grupo_analisis]","[IF].[grupo_analisis].&amp;["&amp;$B83&amp;"]","[IF].[mes]","[IF].[mes].&amp;["&amp;E$8&amp;"]","[IF].[ano]","[IF].[ano].&amp;["&amp;E$7&amp;"]","[IF].[informacion]","[IF].[informacion].&amp;["&amp;E$9&amp;"]"),0)</f>
        <v>0</v>
      </c>
      <c r="F83" s="9">
        <f>IFERROR(GETPIVOTDATA("[Measures].[Suma de valor]",base!$A$3,"[IF].[departamento_jerarquia2]","[IF].[departamento_jerarquia2].&amp;["&amp;F$5&amp;"]","[IF].[grupo_analisis]","[IF].[grupo_analisis].&amp;["&amp;$B83&amp;"]","[IF].[mes]","[IF].[mes].&amp;["&amp;F$8&amp;"]","[IF].[ano]","[IF].[ano].&amp;["&amp;F$7&amp;"]","[IF].[informacion]","[IF].[informacion].&amp;["&amp;F$9&amp;"]"),0)</f>
        <v>0</v>
      </c>
      <c r="G83" s="9">
        <f>IFERROR(GETPIVOTDATA("[Measures].[Suma de valor]",base!$A$3,"[IF].[departamento_jerarquia2]","[IF].[departamento_jerarquia2].&amp;["&amp;G$5&amp;"]","[IF].[grupo_analisis]","[IF].[grupo_analisis].&amp;["&amp;$B83&amp;"]","[IF].[mes]","[IF].[mes].&amp;["&amp;G$8&amp;"]","[IF].[ano]","[IF].[ano].&amp;["&amp;G$7&amp;"]","[IF].[informacion]","[IF].[informacion].&amp;["&amp;G$9&amp;"]"),0)</f>
        <v>0</v>
      </c>
      <c r="H83" s="9">
        <f>IFERROR(GETPIVOTDATA("[Measures].[Suma de valor]",base!$A$3,"[IF].[departamento_jerarquia2]","[IF].[departamento_jerarquia2].&amp;["&amp;H$5&amp;"]","[IF].[grupo_analisis]","[IF].[grupo_analisis].&amp;["&amp;$B83&amp;"]","[IF].[mes]","[IF].[mes].&amp;["&amp;H$8&amp;"]","[IF].[ano]","[IF].[ano].&amp;["&amp;H$7&amp;"]","[IF].[informacion]","[IF].[informacion].&amp;["&amp;H$9&amp;"]"),0)</f>
        <v>0</v>
      </c>
      <c r="I83" s="9">
        <f>IFERROR(GETPIVOTDATA("[Measures].[Suma de valor]",base!$A$3,"[IF].[departamento_jerarquia2]","[IF].[departamento_jerarquia2].&amp;["&amp;I$5&amp;"]","[IF].[grupo_analisis]","[IF].[grupo_analisis].&amp;["&amp;$B83&amp;"]","[IF].[mes]","[IF].[mes].&amp;["&amp;I$8&amp;"]","[IF].[ano]","[IF].[ano].&amp;["&amp;I$7&amp;"]","[IF].[informacion]","[IF].[informacion].&amp;["&amp;I$9&amp;"]"),0)</f>
        <v>0</v>
      </c>
      <c r="J83" s="9"/>
      <c r="K83" s="9"/>
      <c r="L83" s="12">
        <f>SUM(C83:K83)</f>
        <v>0</v>
      </c>
      <c r="N83" s="12">
        <f>L83</f>
        <v>0</v>
      </c>
    </row>
    <row r="84" spans="2:14" x14ac:dyDescent="0.25">
      <c r="B84" t="s">
        <v>166</v>
      </c>
      <c r="C84" s="9">
        <f>IFERROR(GETPIVOTDATA("[Measures].[Suma de valor]",base!$A$3,"[IF].[departamento_jerarquia2]","[IF].[departamento_jerarquia2].&amp;["&amp;C$5&amp;"]","[IF].[grupo_analisis]","[IF].[grupo_analisis].&amp;["&amp;$B84&amp;"]","[IF].[mes]","[IF].[mes].&amp;["&amp;C$8&amp;"]","[IF].[ano]","[IF].[ano].&amp;["&amp;C$7&amp;"]","[IF].[informacion]","[IF].[informacion].&amp;["&amp;C$9&amp;"]"),0)</f>
        <v>0</v>
      </c>
      <c r="D84" s="9">
        <f>IFERROR(GETPIVOTDATA("[Measures].[Suma de valor]",base!$A$3,"[IF].[departamento_jerarquia2]","[IF].[departamento_jerarquia2].&amp;["&amp;D$5&amp;"]","[IF].[grupo_analisis]","[IF].[grupo_analisis].&amp;["&amp;$B84&amp;"]","[IF].[mes]","[IF].[mes].&amp;["&amp;D$8&amp;"]","[IF].[ano]","[IF].[ano].&amp;["&amp;D$7&amp;"]","[IF].[informacion]","[IF].[informacion].&amp;["&amp;D$9&amp;"]"),0)-E84</f>
        <v>0</v>
      </c>
      <c r="E84" s="9">
        <f>IFERROR(GETPIVOTDATA("[Measures].[Suma de valor]",base!$AN$5,"[IF].[grupo_analisis]","[IF].[grupo_analisis].&amp;["&amp;$B84&amp;"]","[IF].[mes]","[IF].[mes].&amp;["&amp;E$8&amp;"]","[IF].[ano]","[IF].[ano].&amp;["&amp;E$7&amp;"]","[IF].[informacion]","[IF].[informacion].&amp;["&amp;E$9&amp;"]"),0)</f>
        <v>0</v>
      </c>
      <c r="F84" s="9">
        <f>IFERROR(GETPIVOTDATA("[Measures].[Suma de valor]",base!$A$3,"[IF].[departamento_jerarquia2]","[IF].[departamento_jerarquia2].&amp;["&amp;F$5&amp;"]","[IF].[grupo_analisis]","[IF].[grupo_analisis].&amp;["&amp;$B84&amp;"]","[IF].[mes]","[IF].[mes].&amp;["&amp;F$8&amp;"]","[IF].[ano]","[IF].[ano].&amp;["&amp;F$7&amp;"]","[IF].[informacion]","[IF].[informacion].&amp;["&amp;F$9&amp;"]"),0)</f>
        <v>0</v>
      </c>
      <c r="G84" s="9">
        <f>IFERROR(GETPIVOTDATA("[Measures].[Suma de valor]",base!$A$3,"[IF].[departamento_jerarquia2]","[IF].[departamento_jerarquia2].&amp;["&amp;G$5&amp;"]","[IF].[grupo_analisis]","[IF].[grupo_analisis].&amp;["&amp;$B84&amp;"]","[IF].[mes]","[IF].[mes].&amp;["&amp;G$8&amp;"]","[IF].[ano]","[IF].[ano].&amp;["&amp;G$7&amp;"]","[IF].[informacion]","[IF].[informacion].&amp;["&amp;G$9&amp;"]"),0)</f>
        <v>0</v>
      </c>
      <c r="H84" s="9">
        <f>IFERROR(GETPIVOTDATA("[Measures].[Suma de valor]",base!$A$3,"[IF].[departamento_jerarquia2]","[IF].[departamento_jerarquia2].&amp;["&amp;H$5&amp;"]","[IF].[grupo_analisis]","[IF].[grupo_analisis].&amp;["&amp;$B84&amp;"]","[IF].[mes]","[IF].[mes].&amp;["&amp;H$8&amp;"]","[IF].[ano]","[IF].[ano].&amp;["&amp;H$7&amp;"]","[IF].[informacion]","[IF].[informacion].&amp;["&amp;H$9&amp;"]"),0)</f>
        <v>0</v>
      </c>
      <c r="I84" s="9">
        <f>IFERROR(GETPIVOTDATA("[Measures].[Suma de valor]",base!$A$3,"[IF].[departamento_jerarquia2]","[IF].[departamento_jerarquia2].&amp;["&amp;I$5&amp;"]","[IF].[grupo_analisis]","[IF].[grupo_analisis].&amp;["&amp;$B84&amp;"]","[IF].[mes]","[IF].[mes].&amp;["&amp;I$8&amp;"]","[IF].[ano]","[IF].[ano].&amp;["&amp;I$7&amp;"]","[IF].[informacion]","[IF].[informacion].&amp;["&amp;I$9&amp;"]"),0)</f>
        <v>0</v>
      </c>
      <c r="J84" s="9"/>
      <c r="K84" s="9"/>
      <c r="L84" s="12">
        <f>SUM(C84:K84)</f>
        <v>0</v>
      </c>
      <c r="N84" s="12">
        <f>L84</f>
        <v>0</v>
      </c>
    </row>
    <row r="85" spans="2:14" x14ac:dyDescent="0.25">
      <c r="B85" s="14" t="s">
        <v>210</v>
      </c>
      <c r="C85" s="15">
        <f t="shared" ref="C85:L85" si="17">SUM(C82:C84)</f>
        <v>0</v>
      </c>
      <c r="D85" s="15">
        <f t="shared" si="17"/>
        <v>0</v>
      </c>
      <c r="E85" s="15">
        <f t="shared" si="17"/>
        <v>0.56512209000000002</v>
      </c>
      <c r="F85" s="15">
        <f t="shared" si="17"/>
        <v>0</v>
      </c>
      <c r="G85" s="15">
        <f t="shared" si="17"/>
        <v>0</v>
      </c>
      <c r="H85" s="15">
        <f t="shared" si="17"/>
        <v>0</v>
      </c>
      <c r="I85" s="15">
        <f t="shared" si="17"/>
        <v>0.31585795</v>
      </c>
      <c r="J85" s="15"/>
      <c r="K85" s="15"/>
      <c r="L85" s="16">
        <f t="shared" si="17"/>
        <v>0.88098004000000008</v>
      </c>
      <c r="N85" s="16">
        <f>SUM(N82:N84)</f>
        <v>0.88098004000000008</v>
      </c>
    </row>
    <row r="87" spans="2:14" x14ac:dyDescent="0.25">
      <c r="B87" s="14" t="s">
        <v>211</v>
      </c>
      <c r="C87" s="15">
        <f t="shared" ref="C87:L87" si="18">C80-C85</f>
        <v>0</v>
      </c>
      <c r="D87" s="15">
        <f t="shared" si="18"/>
        <v>0.72177200000000008</v>
      </c>
      <c r="E87" s="15">
        <f t="shared" si="18"/>
        <v>2.6863647099999999</v>
      </c>
      <c r="F87" s="15">
        <f t="shared" si="18"/>
        <v>0</v>
      </c>
      <c r="G87" s="15">
        <f t="shared" si="18"/>
        <v>0</v>
      </c>
      <c r="H87" s="15">
        <f t="shared" si="18"/>
        <v>0</v>
      </c>
      <c r="I87" s="15">
        <f t="shared" si="18"/>
        <v>-0.21301342000000001</v>
      </c>
      <c r="J87" s="15"/>
      <c r="K87" s="15"/>
      <c r="L87" s="16">
        <f t="shared" si="18"/>
        <v>3.1951232899999997</v>
      </c>
      <c r="N87" s="16">
        <f>N80-N85</f>
        <v>3.1951232899999997</v>
      </c>
    </row>
    <row r="89" spans="2:14" x14ac:dyDescent="0.25">
      <c r="B89" s="14" t="s">
        <v>212</v>
      </c>
      <c r="C89" s="15">
        <f t="shared" ref="C89:L89" si="19">C75+C87</f>
        <v>0</v>
      </c>
      <c r="D89" s="15">
        <f t="shared" si="19"/>
        <v>-116.26520099999998</v>
      </c>
      <c r="E89" s="15">
        <f t="shared" si="19"/>
        <v>74.495281279999958</v>
      </c>
      <c r="F89" s="15">
        <f t="shared" si="19"/>
        <v>0</v>
      </c>
      <c r="G89" s="15">
        <f t="shared" si="19"/>
        <v>0</v>
      </c>
      <c r="H89" s="15">
        <f t="shared" si="19"/>
        <v>0</v>
      </c>
      <c r="I89" s="15">
        <f t="shared" si="19"/>
        <v>214.9907739400002</v>
      </c>
      <c r="J89" s="15"/>
      <c r="K89" s="15"/>
      <c r="L89" s="16">
        <f t="shared" si="19"/>
        <v>173.22085422000023</v>
      </c>
      <c r="N89" s="16">
        <f>N75+N87</f>
        <v>173.22085422000023</v>
      </c>
    </row>
    <row r="90" spans="2:14" x14ac:dyDescent="0.25">
      <c r="B90" t="s">
        <v>213</v>
      </c>
      <c r="C90" s="7">
        <f t="shared" ref="C90:L90" si="20">IFERROR(C89/(C39+C80),0)</f>
        <v>0</v>
      </c>
      <c r="D90" s="7">
        <f t="shared" si="20"/>
        <v>-0.90274267214956183</v>
      </c>
      <c r="E90" s="7">
        <f t="shared" si="20"/>
        <v>7.2808682507583974E-2</v>
      </c>
      <c r="F90" s="7">
        <f t="shared" si="20"/>
        <v>0</v>
      </c>
      <c r="G90" s="7">
        <f t="shared" si="20"/>
        <v>0</v>
      </c>
      <c r="H90" s="7">
        <f t="shared" si="20"/>
        <v>0</v>
      </c>
      <c r="I90" s="7">
        <f t="shared" si="20"/>
        <v>0.23837649651143494</v>
      </c>
      <c r="J90" s="7"/>
      <c r="K90" s="7"/>
      <c r="L90" s="7">
        <f t="shared" si="20"/>
        <v>8.4339512611012857E-2</v>
      </c>
      <c r="N90" s="7">
        <f>IFERROR(N89/(N39+N80),0)</f>
        <v>8.5890780001440709E-2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9ECE7-7E5F-4256-826D-F54C3331EA1F}">
  <dimension ref="A1:C259"/>
  <sheetViews>
    <sheetView topLeftCell="A88" workbookViewId="0">
      <selection activeCell="C1" sqref="C1"/>
    </sheetView>
  </sheetViews>
  <sheetFormatPr baseColWidth="10" defaultRowHeight="15" x14ac:dyDescent="0.25"/>
  <cols>
    <col min="1" max="1" width="19.42578125" bestFit="1" customWidth="1"/>
    <col min="2" max="2" width="35.140625" bestFit="1" customWidth="1"/>
    <col min="3" max="3" width="24.42578125" bestFit="1" customWidth="1"/>
  </cols>
  <sheetData>
    <row r="1" spans="1:3" x14ac:dyDescent="0.25">
      <c r="A1" s="277" t="s">
        <v>442</v>
      </c>
      <c r="B1" s="277" t="s">
        <v>443</v>
      </c>
      <c r="C1" s="277" t="s">
        <v>444</v>
      </c>
    </row>
    <row r="2" spans="1:3" x14ac:dyDescent="0.25">
      <c r="A2" s="278" t="s">
        <v>563</v>
      </c>
      <c r="B2" s="278" t="s">
        <v>564</v>
      </c>
      <c r="C2" s="278" t="s">
        <v>100</v>
      </c>
    </row>
    <row r="3" spans="1:3" x14ac:dyDescent="0.25">
      <c r="A3" s="278" t="s">
        <v>565</v>
      </c>
      <c r="B3" s="278" t="s">
        <v>566</v>
      </c>
      <c r="C3" s="278" t="s">
        <v>100</v>
      </c>
    </row>
    <row r="4" spans="1:3" x14ac:dyDescent="0.25">
      <c r="A4" s="278" t="s">
        <v>567</v>
      </c>
      <c r="B4" s="278" t="s">
        <v>568</v>
      </c>
      <c r="C4" s="278" t="s">
        <v>100</v>
      </c>
    </row>
    <row r="5" spans="1:3" x14ac:dyDescent="0.25">
      <c r="A5" s="278" t="s">
        <v>569</v>
      </c>
      <c r="B5" s="278" t="s">
        <v>570</v>
      </c>
      <c r="C5" s="278" t="s">
        <v>100</v>
      </c>
    </row>
    <row r="6" spans="1:3" x14ac:dyDescent="0.25">
      <c r="A6" s="278" t="s">
        <v>571</v>
      </c>
      <c r="B6" s="278" t="s">
        <v>572</v>
      </c>
      <c r="C6" s="278" t="s">
        <v>100</v>
      </c>
    </row>
    <row r="7" spans="1:3" x14ac:dyDescent="0.25">
      <c r="A7" s="278" t="s">
        <v>573</v>
      </c>
      <c r="B7" s="278" t="s">
        <v>574</v>
      </c>
      <c r="C7" s="278" t="s">
        <v>100</v>
      </c>
    </row>
    <row r="8" spans="1:3" x14ac:dyDescent="0.25">
      <c r="A8" s="278" t="s">
        <v>575</v>
      </c>
      <c r="B8" s="278" t="s">
        <v>576</v>
      </c>
      <c r="C8" s="278" t="s">
        <v>100</v>
      </c>
    </row>
    <row r="9" spans="1:3" x14ac:dyDescent="0.25">
      <c r="A9" s="278" t="s">
        <v>476</v>
      </c>
      <c r="B9" s="278" t="s">
        <v>477</v>
      </c>
      <c r="C9" s="278" t="s">
        <v>101</v>
      </c>
    </row>
    <row r="10" spans="1:3" x14ac:dyDescent="0.25">
      <c r="A10" s="278" t="s">
        <v>478</v>
      </c>
      <c r="B10" s="278" t="s">
        <v>479</v>
      </c>
      <c r="C10" s="278" t="s">
        <v>101</v>
      </c>
    </row>
    <row r="11" spans="1:3" x14ac:dyDescent="0.25">
      <c r="A11" s="278" t="s">
        <v>480</v>
      </c>
      <c r="B11" s="278" t="s">
        <v>481</v>
      </c>
      <c r="C11" s="278" t="s">
        <v>101</v>
      </c>
    </row>
    <row r="12" spans="1:3" x14ac:dyDescent="0.25">
      <c r="A12" s="278" t="s">
        <v>883</v>
      </c>
      <c r="B12" s="278" t="s">
        <v>884</v>
      </c>
      <c r="C12" s="278" t="s">
        <v>102</v>
      </c>
    </row>
    <row r="13" spans="1:3" x14ac:dyDescent="0.25">
      <c r="A13" s="278" t="s">
        <v>885</v>
      </c>
      <c r="B13" s="278" t="s">
        <v>886</v>
      </c>
      <c r="C13" s="278" t="s">
        <v>102</v>
      </c>
    </row>
    <row r="14" spans="1:3" x14ac:dyDescent="0.25">
      <c r="A14" s="278" t="s">
        <v>756</v>
      </c>
      <c r="B14" s="278" t="s">
        <v>757</v>
      </c>
      <c r="C14" s="278" t="s">
        <v>103</v>
      </c>
    </row>
    <row r="15" spans="1:3" x14ac:dyDescent="0.25">
      <c r="A15" s="278" t="s">
        <v>758</v>
      </c>
      <c r="B15" s="278" t="s">
        <v>759</v>
      </c>
      <c r="C15" s="278" t="s">
        <v>103</v>
      </c>
    </row>
    <row r="16" spans="1:3" x14ac:dyDescent="0.25">
      <c r="A16" s="278" t="s">
        <v>760</v>
      </c>
      <c r="B16" s="278" t="s">
        <v>761</v>
      </c>
      <c r="C16" s="278" t="s">
        <v>103</v>
      </c>
    </row>
    <row r="17" spans="1:3" x14ac:dyDescent="0.25">
      <c r="A17" s="278" t="s">
        <v>762</v>
      </c>
      <c r="B17" s="278" t="s">
        <v>763</v>
      </c>
      <c r="C17" s="278" t="s">
        <v>103</v>
      </c>
    </row>
    <row r="18" spans="1:3" x14ac:dyDescent="0.25">
      <c r="A18" s="278" t="s">
        <v>764</v>
      </c>
      <c r="B18" s="278" t="s">
        <v>765</v>
      </c>
      <c r="C18" s="278" t="s">
        <v>103</v>
      </c>
    </row>
    <row r="19" spans="1:3" x14ac:dyDescent="0.25">
      <c r="A19" s="278" t="s">
        <v>766</v>
      </c>
      <c r="B19" s="278" t="s">
        <v>767</v>
      </c>
      <c r="C19" s="278" t="s">
        <v>103</v>
      </c>
    </row>
    <row r="20" spans="1:3" x14ac:dyDescent="0.25">
      <c r="A20" s="278" t="s">
        <v>768</v>
      </c>
      <c r="B20" s="278" t="s">
        <v>769</v>
      </c>
      <c r="C20" s="278" t="s">
        <v>103</v>
      </c>
    </row>
    <row r="21" spans="1:3" x14ac:dyDescent="0.25">
      <c r="A21" s="278" t="s">
        <v>770</v>
      </c>
      <c r="B21" s="278" t="s">
        <v>771</v>
      </c>
      <c r="C21" s="278" t="s">
        <v>103</v>
      </c>
    </row>
    <row r="22" spans="1:3" x14ac:dyDescent="0.25">
      <c r="A22" s="278" t="s">
        <v>772</v>
      </c>
      <c r="B22" s="278" t="s">
        <v>773</v>
      </c>
      <c r="C22" s="278" t="s">
        <v>103</v>
      </c>
    </row>
    <row r="23" spans="1:3" x14ac:dyDescent="0.25">
      <c r="A23" s="278" t="s">
        <v>774</v>
      </c>
      <c r="B23" s="278" t="s">
        <v>775</v>
      </c>
      <c r="C23" s="278" t="s">
        <v>103</v>
      </c>
    </row>
    <row r="24" spans="1:3" x14ac:dyDescent="0.25">
      <c r="A24" s="278" t="s">
        <v>776</v>
      </c>
      <c r="B24" s="278" t="s">
        <v>777</v>
      </c>
      <c r="C24" s="278" t="s">
        <v>103</v>
      </c>
    </row>
    <row r="25" spans="1:3" x14ac:dyDescent="0.25">
      <c r="A25" s="278" t="s">
        <v>778</v>
      </c>
      <c r="B25" s="278" t="s">
        <v>779</v>
      </c>
      <c r="C25" s="278" t="s">
        <v>103</v>
      </c>
    </row>
    <row r="26" spans="1:3" x14ac:dyDescent="0.25">
      <c r="A26" s="278" t="s">
        <v>780</v>
      </c>
      <c r="B26" s="278" t="s">
        <v>781</v>
      </c>
      <c r="C26" s="278" t="s">
        <v>103</v>
      </c>
    </row>
    <row r="27" spans="1:3" x14ac:dyDescent="0.25">
      <c r="A27" s="278" t="s">
        <v>549</v>
      </c>
      <c r="B27" s="278" t="s">
        <v>550</v>
      </c>
      <c r="C27" s="278" t="s">
        <v>104</v>
      </c>
    </row>
    <row r="28" spans="1:3" x14ac:dyDescent="0.25">
      <c r="A28" s="278" t="s">
        <v>551</v>
      </c>
      <c r="B28" s="278" t="s">
        <v>552</v>
      </c>
      <c r="C28" s="278" t="s">
        <v>104</v>
      </c>
    </row>
    <row r="29" spans="1:3" x14ac:dyDescent="0.25">
      <c r="A29" s="278" t="s">
        <v>553</v>
      </c>
      <c r="B29" s="278" t="s">
        <v>554</v>
      </c>
      <c r="C29" s="278" t="s">
        <v>104</v>
      </c>
    </row>
    <row r="30" spans="1:3" x14ac:dyDescent="0.25">
      <c r="A30" s="278" t="s">
        <v>555</v>
      </c>
      <c r="B30" s="278" t="s">
        <v>556</v>
      </c>
      <c r="C30" s="278" t="s">
        <v>104</v>
      </c>
    </row>
    <row r="31" spans="1:3" x14ac:dyDescent="0.25">
      <c r="A31" s="278" t="s">
        <v>466</v>
      </c>
      <c r="B31" s="278" t="s">
        <v>467</v>
      </c>
      <c r="C31" s="278" t="s">
        <v>105</v>
      </c>
    </row>
    <row r="32" spans="1:3" x14ac:dyDescent="0.25">
      <c r="A32" s="278" t="s">
        <v>468</v>
      </c>
      <c r="B32" s="278" t="s">
        <v>469</v>
      </c>
      <c r="C32" s="278" t="s">
        <v>105</v>
      </c>
    </row>
    <row r="33" spans="1:3" x14ac:dyDescent="0.25">
      <c r="A33" s="278" t="s">
        <v>470</v>
      </c>
      <c r="B33" s="278" t="s">
        <v>471</v>
      </c>
      <c r="C33" s="278" t="s">
        <v>105</v>
      </c>
    </row>
    <row r="34" spans="1:3" x14ac:dyDescent="0.25">
      <c r="A34" s="278" t="s">
        <v>577</v>
      </c>
      <c r="B34" s="278" t="s">
        <v>578</v>
      </c>
      <c r="C34" s="278" t="s">
        <v>106</v>
      </c>
    </row>
    <row r="35" spans="1:3" x14ac:dyDescent="0.25">
      <c r="A35" s="278" t="s">
        <v>579</v>
      </c>
      <c r="B35" s="278" t="s">
        <v>580</v>
      </c>
      <c r="C35" s="278" t="s">
        <v>106</v>
      </c>
    </row>
    <row r="36" spans="1:3" x14ac:dyDescent="0.25">
      <c r="A36" s="278" t="s">
        <v>581</v>
      </c>
      <c r="B36" s="278" t="s">
        <v>582</v>
      </c>
      <c r="C36" s="278" t="s">
        <v>106</v>
      </c>
    </row>
    <row r="37" spans="1:3" x14ac:dyDescent="0.25">
      <c r="A37" s="278" t="s">
        <v>583</v>
      </c>
      <c r="B37" s="278" t="s">
        <v>584</v>
      </c>
      <c r="C37" s="278" t="s">
        <v>106</v>
      </c>
    </row>
    <row r="38" spans="1:3" x14ac:dyDescent="0.25">
      <c r="A38" s="278" t="s">
        <v>585</v>
      </c>
      <c r="B38" s="278" t="s">
        <v>586</v>
      </c>
      <c r="C38" s="278" t="s">
        <v>106</v>
      </c>
    </row>
    <row r="39" spans="1:3" x14ac:dyDescent="0.25">
      <c r="A39" s="278" t="s">
        <v>587</v>
      </c>
      <c r="B39" s="278" t="s">
        <v>588</v>
      </c>
      <c r="C39" s="278" t="s">
        <v>106</v>
      </c>
    </row>
    <row r="40" spans="1:3" x14ac:dyDescent="0.25">
      <c r="A40" s="278" t="s">
        <v>589</v>
      </c>
      <c r="B40" s="278" t="s">
        <v>590</v>
      </c>
      <c r="C40" s="278" t="s">
        <v>106</v>
      </c>
    </row>
    <row r="41" spans="1:3" x14ac:dyDescent="0.25">
      <c r="A41" s="278" t="s">
        <v>591</v>
      </c>
      <c r="B41" s="278" t="s">
        <v>592</v>
      </c>
      <c r="C41" s="278" t="s">
        <v>106</v>
      </c>
    </row>
    <row r="42" spans="1:3" x14ac:dyDescent="0.25">
      <c r="A42" s="278" t="s">
        <v>593</v>
      </c>
      <c r="B42" s="278" t="s">
        <v>594</v>
      </c>
      <c r="C42" s="278" t="s">
        <v>106</v>
      </c>
    </row>
    <row r="43" spans="1:3" x14ac:dyDescent="0.25">
      <c r="A43" s="278" t="s">
        <v>595</v>
      </c>
      <c r="B43" s="278" t="s">
        <v>596</v>
      </c>
      <c r="C43" s="278" t="s">
        <v>106</v>
      </c>
    </row>
    <row r="44" spans="1:3" x14ac:dyDescent="0.25">
      <c r="A44" s="278" t="s">
        <v>782</v>
      </c>
      <c r="B44" s="278" t="s">
        <v>783</v>
      </c>
      <c r="C44" s="278" t="s">
        <v>106</v>
      </c>
    </row>
    <row r="45" spans="1:3" x14ac:dyDescent="0.25">
      <c r="A45" s="278" t="s">
        <v>784</v>
      </c>
      <c r="B45" s="278" t="s">
        <v>785</v>
      </c>
      <c r="C45" s="278" t="s">
        <v>106</v>
      </c>
    </row>
    <row r="46" spans="1:3" x14ac:dyDescent="0.25">
      <c r="A46" s="278" t="s">
        <v>786</v>
      </c>
      <c r="B46" s="278" t="s">
        <v>787</v>
      </c>
      <c r="C46" s="278" t="s">
        <v>106</v>
      </c>
    </row>
    <row r="47" spans="1:3" x14ac:dyDescent="0.25">
      <c r="A47" s="278" t="s">
        <v>788</v>
      </c>
      <c r="B47" s="278" t="s">
        <v>789</v>
      </c>
      <c r="C47" s="278" t="s">
        <v>106</v>
      </c>
    </row>
    <row r="48" spans="1:3" x14ac:dyDescent="0.25">
      <c r="A48" s="278" t="s">
        <v>790</v>
      </c>
      <c r="B48" s="278" t="s">
        <v>791</v>
      </c>
      <c r="C48" s="278" t="s">
        <v>106</v>
      </c>
    </row>
    <row r="49" spans="1:3" x14ac:dyDescent="0.25">
      <c r="A49" s="278" t="s">
        <v>792</v>
      </c>
      <c r="B49" s="278" t="s">
        <v>793</v>
      </c>
      <c r="C49" s="278" t="s">
        <v>106</v>
      </c>
    </row>
    <row r="50" spans="1:3" x14ac:dyDescent="0.25">
      <c r="A50" s="278" t="s">
        <v>794</v>
      </c>
      <c r="B50" s="278" t="s">
        <v>795</v>
      </c>
      <c r="C50" s="278" t="s">
        <v>106</v>
      </c>
    </row>
    <row r="51" spans="1:3" x14ac:dyDescent="0.25">
      <c r="A51" s="278" t="s">
        <v>796</v>
      </c>
      <c r="B51" s="278" t="s">
        <v>797</v>
      </c>
      <c r="C51" s="278" t="s">
        <v>106</v>
      </c>
    </row>
    <row r="52" spans="1:3" x14ac:dyDescent="0.25">
      <c r="A52" s="278" t="s">
        <v>798</v>
      </c>
      <c r="B52" s="278" t="s">
        <v>799</v>
      </c>
      <c r="C52" s="278" t="s">
        <v>106</v>
      </c>
    </row>
    <row r="53" spans="1:3" x14ac:dyDescent="0.25">
      <c r="A53" s="278" t="s">
        <v>800</v>
      </c>
      <c r="B53" s="278" t="s">
        <v>801</v>
      </c>
      <c r="C53" s="278" t="s">
        <v>106</v>
      </c>
    </row>
    <row r="54" spans="1:3" x14ac:dyDescent="0.25">
      <c r="A54" s="278" t="s">
        <v>802</v>
      </c>
      <c r="B54" s="278" t="s">
        <v>803</v>
      </c>
      <c r="C54" s="278" t="s">
        <v>106</v>
      </c>
    </row>
    <row r="55" spans="1:3" x14ac:dyDescent="0.25">
      <c r="A55" s="278" t="s">
        <v>804</v>
      </c>
      <c r="B55" s="278" t="s">
        <v>805</v>
      </c>
      <c r="C55" s="278" t="s">
        <v>106</v>
      </c>
    </row>
    <row r="56" spans="1:3" x14ac:dyDescent="0.25">
      <c r="A56" s="278" t="s">
        <v>806</v>
      </c>
      <c r="B56" s="278" t="s">
        <v>807</v>
      </c>
      <c r="C56" s="278" t="s">
        <v>106</v>
      </c>
    </row>
    <row r="57" spans="1:3" x14ac:dyDescent="0.25">
      <c r="A57" s="278" t="s">
        <v>732</v>
      </c>
      <c r="B57" s="278" t="s">
        <v>733</v>
      </c>
      <c r="C57" s="278" t="s">
        <v>314</v>
      </c>
    </row>
    <row r="58" spans="1:3" x14ac:dyDescent="0.25">
      <c r="A58" s="278" t="s">
        <v>734</v>
      </c>
      <c r="B58" s="278" t="s">
        <v>735</v>
      </c>
      <c r="C58" s="278" t="s">
        <v>314</v>
      </c>
    </row>
    <row r="59" spans="1:3" x14ac:dyDescent="0.25">
      <c r="A59" s="278" t="s">
        <v>736</v>
      </c>
      <c r="B59" s="278" t="s">
        <v>737</v>
      </c>
      <c r="C59" s="278" t="s">
        <v>314</v>
      </c>
    </row>
    <row r="60" spans="1:3" x14ac:dyDescent="0.25">
      <c r="A60" s="278" t="s">
        <v>738</v>
      </c>
      <c r="B60" s="278" t="s">
        <v>739</v>
      </c>
      <c r="C60" s="278" t="s">
        <v>314</v>
      </c>
    </row>
    <row r="61" spans="1:3" x14ac:dyDescent="0.25">
      <c r="A61" s="278" t="s">
        <v>740</v>
      </c>
      <c r="B61" s="278" t="s">
        <v>741</v>
      </c>
      <c r="C61" s="278" t="s">
        <v>314</v>
      </c>
    </row>
    <row r="62" spans="1:3" x14ac:dyDescent="0.25">
      <c r="A62" s="278" t="s">
        <v>742</v>
      </c>
      <c r="B62" s="278" t="s">
        <v>743</v>
      </c>
      <c r="C62" s="278" t="s">
        <v>314</v>
      </c>
    </row>
    <row r="63" spans="1:3" x14ac:dyDescent="0.25">
      <c r="A63" s="278" t="s">
        <v>744</v>
      </c>
      <c r="B63" s="278" t="s">
        <v>745</v>
      </c>
      <c r="C63" s="278" t="s">
        <v>314</v>
      </c>
    </row>
    <row r="64" spans="1:3" x14ac:dyDescent="0.25">
      <c r="A64" s="278" t="s">
        <v>746</v>
      </c>
      <c r="B64" s="278" t="s">
        <v>747</v>
      </c>
      <c r="C64" s="278" t="s">
        <v>314</v>
      </c>
    </row>
    <row r="65" spans="1:3" x14ac:dyDescent="0.25">
      <c r="A65" s="278" t="s">
        <v>748</v>
      </c>
      <c r="B65" s="278" t="s">
        <v>749</v>
      </c>
      <c r="C65" s="278" t="s">
        <v>314</v>
      </c>
    </row>
    <row r="66" spans="1:3" x14ac:dyDescent="0.25">
      <c r="A66" s="278" t="s">
        <v>750</v>
      </c>
      <c r="B66" s="278" t="s">
        <v>751</v>
      </c>
      <c r="C66" s="278" t="s">
        <v>314</v>
      </c>
    </row>
    <row r="67" spans="1:3" x14ac:dyDescent="0.25">
      <c r="A67" s="278" t="s">
        <v>752</v>
      </c>
      <c r="B67" s="278" t="s">
        <v>753</v>
      </c>
      <c r="C67" s="278" t="s">
        <v>314</v>
      </c>
    </row>
    <row r="68" spans="1:3" x14ac:dyDescent="0.25">
      <c r="A68" s="278" t="s">
        <v>754</v>
      </c>
      <c r="B68" s="278" t="s">
        <v>755</v>
      </c>
      <c r="C68" s="278" t="s">
        <v>314</v>
      </c>
    </row>
    <row r="69" spans="1:3" x14ac:dyDescent="0.25">
      <c r="A69" s="278" t="s">
        <v>842</v>
      </c>
      <c r="B69" s="278" t="s">
        <v>843</v>
      </c>
      <c r="C69" s="278" t="s">
        <v>107</v>
      </c>
    </row>
    <row r="70" spans="1:3" x14ac:dyDescent="0.25">
      <c r="A70" s="278" t="s">
        <v>844</v>
      </c>
      <c r="B70" s="278" t="s">
        <v>845</v>
      </c>
      <c r="C70" s="278" t="s">
        <v>107</v>
      </c>
    </row>
    <row r="71" spans="1:3" x14ac:dyDescent="0.25">
      <c r="A71" s="278" t="s">
        <v>846</v>
      </c>
      <c r="B71" s="278" t="s">
        <v>847</v>
      </c>
      <c r="C71" s="278" t="s">
        <v>107</v>
      </c>
    </row>
    <row r="72" spans="1:3" x14ac:dyDescent="0.25">
      <c r="A72" s="278" t="s">
        <v>848</v>
      </c>
      <c r="B72" s="278" t="s">
        <v>849</v>
      </c>
      <c r="C72" s="278" t="s">
        <v>107</v>
      </c>
    </row>
    <row r="73" spans="1:3" x14ac:dyDescent="0.25">
      <c r="A73" s="278" t="s">
        <v>850</v>
      </c>
      <c r="B73" s="278" t="s">
        <v>851</v>
      </c>
      <c r="C73" s="278" t="s">
        <v>107</v>
      </c>
    </row>
    <row r="74" spans="1:3" x14ac:dyDescent="0.25">
      <c r="A74" s="278" t="s">
        <v>852</v>
      </c>
      <c r="B74" s="278" t="s">
        <v>853</v>
      </c>
      <c r="C74" s="278" t="s">
        <v>107</v>
      </c>
    </row>
    <row r="75" spans="1:3" x14ac:dyDescent="0.25">
      <c r="A75" s="278" t="s">
        <v>627</v>
      </c>
      <c r="B75" s="278" t="s">
        <v>628</v>
      </c>
      <c r="C75" s="278" t="s">
        <v>108</v>
      </c>
    </row>
    <row r="76" spans="1:3" x14ac:dyDescent="0.25">
      <c r="A76" s="278" t="s">
        <v>629</v>
      </c>
      <c r="B76" s="278" t="s">
        <v>630</v>
      </c>
      <c r="C76" s="278" t="s">
        <v>108</v>
      </c>
    </row>
    <row r="77" spans="1:3" x14ac:dyDescent="0.25">
      <c r="A77" s="278" t="s">
        <v>631</v>
      </c>
      <c r="B77" s="278" t="s">
        <v>632</v>
      </c>
      <c r="C77" s="278" t="s">
        <v>108</v>
      </c>
    </row>
    <row r="78" spans="1:3" x14ac:dyDescent="0.25">
      <c r="A78" s="278" t="s">
        <v>633</v>
      </c>
      <c r="B78" s="278" t="s">
        <v>634</v>
      </c>
      <c r="C78" s="278" t="s">
        <v>108</v>
      </c>
    </row>
    <row r="79" spans="1:3" x14ac:dyDescent="0.25">
      <c r="A79" s="278" t="s">
        <v>641</v>
      </c>
      <c r="B79" s="278" t="s">
        <v>642</v>
      </c>
      <c r="C79" s="278" t="s">
        <v>108</v>
      </c>
    </row>
    <row r="80" spans="1:3" x14ac:dyDescent="0.25">
      <c r="A80" s="278" t="s">
        <v>643</v>
      </c>
      <c r="B80" s="278" t="s">
        <v>644</v>
      </c>
      <c r="C80" s="278" t="s">
        <v>108</v>
      </c>
    </row>
    <row r="81" spans="1:3" x14ac:dyDescent="0.25">
      <c r="A81" s="278" t="s">
        <v>645</v>
      </c>
      <c r="B81" s="278" t="s">
        <v>646</v>
      </c>
      <c r="C81" s="278" t="s">
        <v>108</v>
      </c>
    </row>
    <row r="82" spans="1:3" x14ac:dyDescent="0.25">
      <c r="A82" s="278" t="s">
        <v>647</v>
      </c>
      <c r="B82" s="278" t="s">
        <v>648</v>
      </c>
      <c r="C82" s="278" t="s">
        <v>108</v>
      </c>
    </row>
    <row r="83" spans="1:3" x14ac:dyDescent="0.25">
      <c r="A83" s="278" t="s">
        <v>649</v>
      </c>
      <c r="B83" s="278" t="s">
        <v>650</v>
      </c>
      <c r="C83" s="278" t="s">
        <v>108</v>
      </c>
    </row>
    <row r="84" spans="1:3" x14ac:dyDescent="0.25">
      <c r="A84" s="278" t="s">
        <v>651</v>
      </c>
      <c r="B84" s="278" t="s">
        <v>652</v>
      </c>
      <c r="C84" s="278" t="s">
        <v>108</v>
      </c>
    </row>
    <row r="85" spans="1:3" x14ac:dyDescent="0.25">
      <c r="A85" s="278" t="s">
        <v>657</v>
      </c>
      <c r="B85" s="278" t="s">
        <v>658</v>
      </c>
      <c r="C85" s="278" t="s">
        <v>108</v>
      </c>
    </row>
    <row r="86" spans="1:3" x14ac:dyDescent="0.25">
      <c r="A86" s="278" t="s">
        <v>662</v>
      </c>
      <c r="B86" s="278" t="s">
        <v>663</v>
      </c>
      <c r="C86" s="278" t="s">
        <v>108</v>
      </c>
    </row>
    <row r="87" spans="1:3" x14ac:dyDescent="0.25">
      <c r="A87" s="278" t="s">
        <v>664</v>
      </c>
      <c r="B87" s="278" t="s">
        <v>665</v>
      </c>
      <c r="C87" s="278" t="s">
        <v>108</v>
      </c>
    </row>
    <row r="88" spans="1:3" x14ac:dyDescent="0.25">
      <c r="A88" s="278" t="s">
        <v>666</v>
      </c>
      <c r="B88" s="278" t="s">
        <v>667</v>
      </c>
      <c r="C88" s="278" t="s">
        <v>108</v>
      </c>
    </row>
    <row r="89" spans="1:3" x14ac:dyDescent="0.25">
      <c r="A89" s="278" t="s">
        <v>668</v>
      </c>
      <c r="B89" s="278" t="s">
        <v>669</v>
      </c>
      <c r="C89" s="278" t="s">
        <v>108</v>
      </c>
    </row>
    <row r="90" spans="1:3" x14ac:dyDescent="0.25">
      <c r="A90" s="278" t="s">
        <v>670</v>
      </c>
      <c r="B90" s="278" t="s">
        <v>671</v>
      </c>
      <c r="C90" s="278" t="s">
        <v>108</v>
      </c>
    </row>
    <row r="91" spans="1:3" x14ac:dyDescent="0.25">
      <c r="A91" s="278" t="s">
        <v>672</v>
      </c>
      <c r="B91" s="278" t="s">
        <v>673</v>
      </c>
      <c r="C91" s="278" t="s">
        <v>108</v>
      </c>
    </row>
    <row r="92" spans="1:3" x14ac:dyDescent="0.25">
      <c r="A92" s="278" t="s">
        <v>674</v>
      </c>
      <c r="B92" s="278" t="s">
        <v>675</v>
      </c>
      <c r="C92" s="278" t="s">
        <v>108</v>
      </c>
    </row>
    <row r="93" spans="1:3" x14ac:dyDescent="0.25">
      <c r="A93" s="278" t="s">
        <v>676</v>
      </c>
      <c r="B93" s="278" t="s">
        <v>677</v>
      </c>
      <c r="C93" s="278" t="s">
        <v>108</v>
      </c>
    </row>
    <row r="94" spans="1:3" x14ac:dyDescent="0.25">
      <c r="A94" s="278" t="s">
        <v>698</v>
      </c>
      <c r="B94" s="278" t="s">
        <v>699</v>
      </c>
      <c r="C94" s="278" t="s">
        <v>108</v>
      </c>
    </row>
    <row r="95" spans="1:3" x14ac:dyDescent="0.25">
      <c r="A95" s="278" t="s">
        <v>700</v>
      </c>
      <c r="B95" s="278" t="s">
        <v>701</v>
      </c>
      <c r="C95" s="278" t="s">
        <v>108</v>
      </c>
    </row>
    <row r="96" spans="1:3" x14ac:dyDescent="0.25">
      <c r="A96" s="278" t="s">
        <v>702</v>
      </c>
      <c r="B96" s="278" t="s">
        <v>703</v>
      </c>
      <c r="C96" s="278" t="s">
        <v>108</v>
      </c>
    </row>
    <row r="97" spans="1:3" x14ac:dyDescent="0.25">
      <c r="A97" s="278" t="s">
        <v>704</v>
      </c>
      <c r="B97" s="278" t="s">
        <v>705</v>
      </c>
      <c r="C97" s="278" t="s">
        <v>108</v>
      </c>
    </row>
    <row r="98" spans="1:3" x14ac:dyDescent="0.25">
      <c r="A98" s="278" t="s">
        <v>706</v>
      </c>
      <c r="B98" s="278" t="s">
        <v>707</v>
      </c>
      <c r="C98" s="278" t="s">
        <v>108</v>
      </c>
    </row>
    <row r="99" spans="1:3" x14ac:dyDescent="0.25">
      <c r="A99" s="278" t="s">
        <v>708</v>
      </c>
      <c r="B99" s="278" t="s">
        <v>709</v>
      </c>
      <c r="C99" s="278" t="s">
        <v>108</v>
      </c>
    </row>
    <row r="100" spans="1:3" x14ac:dyDescent="0.25">
      <c r="A100" s="278" t="s">
        <v>808</v>
      </c>
      <c r="B100" s="278" t="s">
        <v>809</v>
      </c>
      <c r="C100" s="278" t="s">
        <v>108</v>
      </c>
    </row>
    <row r="101" spans="1:3" x14ac:dyDescent="0.25">
      <c r="A101" s="278" t="s">
        <v>810</v>
      </c>
      <c r="B101" s="278" t="s">
        <v>811</v>
      </c>
      <c r="C101" s="278" t="s">
        <v>108</v>
      </c>
    </row>
    <row r="102" spans="1:3" x14ac:dyDescent="0.25">
      <c r="A102" s="278" t="s">
        <v>812</v>
      </c>
      <c r="B102" s="278" t="s">
        <v>813</v>
      </c>
      <c r="C102" s="278" t="s">
        <v>108</v>
      </c>
    </row>
    <row r="103" spans="1:3" x14ac:dyDescent="0.25">
      <c r="A103" s="278" t="s">
        <v>814</v>
      </c>
      <c r="B103" s="278" t="s">
        <v>815</v>
      </c>
      <c r="C103" s="278" t="s">
        <v>108</v>
      </c>
    </row>
    <row r="104" spans="1:3" x14ac:dyDescent="0.25">
      <c r="A104" s="278" t="s">
        <v>816</v>
      </c>
      <c r="B104" s="278" t="s">
        <v>817</v>
      </c>
      <c r="C104" s="278" t="s">
        <v>108</v>
      </c>
    </row>
    <row r="105" spans="1:3" x14ac:dyDescent="0.25">
      <c r="A105" s="278" t="s">
        <v>818</v>
      </c>
      <c r="B105" s="278" t="s">
        <v>819</v>
      </c>
      <c r="C105" s="278" t="s">
        <v>108</v>
      </c>
    </row>
    <row r="106" spans="1:3" x14ac:dyDescent="0.25">
      <c r="A106" s="278" t="s">
        <v>820</v>
      </c>
      <c r="B106" s="278" t="s">
        <v>821</v>
      </c>
      <c r="C106" s="278" t="s">
        <v>108</v>
      </c>
    </row>
    <row r="107" spans="1:3" x14ac:dyDescent="0.25">
      <c r="A107" s="278" t="s">
        <v>822</v>
      </c>
      <c r="B107" s="278" t="s">
        <v>823</v>
      </c>
      <c r="C107" s="278" t="s">
        <v>108</v>
      </c>
    </row>
    <row r="108" spans="1:3" x14ac:dyDescent="0.25">
      <c r="A108" s="278" t="s">
        <v>824</v>
      </c>
      <c r="B108" s="278" t="s">
        <v>825</v>
      </c>
      <c r="C108" s="278" t="s">
        <v>108</v>
      </c>
    </row>
    <row r="109" spans="1:3" x14ac:dyDescent="0.25">
      <c r="A109" s="278" t="s">
        <v>826</v>
      </c>
      <c r="B109" s="278" t="s">
        <v>827</v>
      </c>
      <c r="C109" s="278" t="s">
        <v>108</v>
      </c>
    </row>
    <row r="110" spans="1:3" x14ac:dyDescent="0.25">
      <c r="A110" s="278" t="s">
        <v>828</v>
      </c>
      <c r="B110" s="278" t="s">
        <v>829</v>
      </c>
      <c r="C110" s="278" t="s">
        <v>108</v>
      </c>
    </row>
    <row r="111" spans="1:3" x14ac:dyDescent="0.25">
      <c r="A111" s="278" t="s">
        <v>830</v>
      </c>
      <c r="B111" s="278" t="s">
        <v>831</v>
      </c>
      <c r="C111" s="278" t="s">
        <v>108</v>
      </c>
    </row>
    <row r="112" spans="1:3" x14ac:dyDescent="0.25">
      <c r="A112" s="278" t="s">
        <v>832</v>
      </c>
      <c r="B112" s="278" t="s">
        <v>833</v>
      </c>
      <c r="C112" s="278" t="s">
        <v>108</v>
      </c>
    </row>
    <row r="113" spans="1:3" x14ac:dyDescent="0.25">
      <c r="A113" s="278" t="s">
        <v>834</v>
      </c>
      <c r="B113" s="278" t="s">
        <v>835</v>
      </c>
      <c r="C113" s="278" t="s">
        <v>108</v>
      </c>
    </row>
    <row r="114" spans="1:3" x14ac:dyDescent="0.25">
      <c r="A114" s="278" t="s">
        <v>836</v>
      </c>
      <c r="B114" s="278" t="s">
        <v>837</v>
      </c>
      <c r="C114" s="278" t="s">
        <v>108</v>
      </c>
    </row>
    <row r="115" spans="1:3" x14ac:dyDescent="0.25">
      <c r="A115" s="278" t="s">
        <v>838</v>
      </c>
      <c r="B115" s="278" t="s">
        <v>839</v>
      </c>
      <c r="C115" s="278" t="s">
        <v>108</v>
      </c>
    </row>
    <row r="116" spans="1:3" x14ac:dyDescent="0.25">
      <c r="A116" s="278" t="s">
        <v>840</v>
      </c>
      <c r="B116" s="278" t="s">
        <v>841</v>
      </c>
      <c r="C116" s="278" t="s">
        <v>108</v>
      </c>
    </row>
    <row r="117" spans="1:3" x14ac:dyDescent="0.25">
      <c r="A117" s="278" t="s">
        <v>146</v>
      </c>
      <c r="B117" s="278" t="s">
        <v>181</v>
      </c>
      <c r="C117" s="278" t="s">
        <v>109</v>
      </c>
    </row>
    <row r="118" spans="1:3" x14ac:dyDescent="0.25">
      <c r="A118" s="278" t="s">
        <v>147</v>
      </c>
      <c r="B118" s="278" t="s">
        <v>182</v>
      </c>
      <c r="C118" s="278" t="s">
        <v>109</v>
      </c>
    </row>
    <row r="119" spans="1:3" x14ac:dyDescent="0.25">
      <c r="A119" s="278" t="s">
        <v>148</v>
      </c>
      <c r="B119" s="278" t="s">
        <v>183</v>
      </c>
      <c r="C119" s="278" t="s">
        <v>109</v>
      </c>
    </row>
    <row r="120" spans="1:3" x14ac:dyDescent="0.25">
      <c r="A120" s="278" t="s">
        <v>149</v>
      </c>
      <c r="B120" s="278" t="s">
        <v>184</v>
      </c>
      <c r="C120" s="278" t="s">
        <v>109</v>
      </c>
    </row>
    <row r="121" spans="1:3" x14ac:dyDescent="0.25">
      <c r="A121" s="278" t="s">
        <v>150</v>
      </c>
      <c r="B121" s="278" t="s">
        <v>185</v>
      </c>
      <c r="C121" s="278" t="s">
        <v>109</v>
      </c>
    </row>
    <row r="122" spans="1:3" x14ac:dyDescent="0.25">
      <c r="A122" s="278" t="s">
        <v>250</v>
      </c>
      <c r="B122" s="278" t="s">
        <v>358</v>
      </c>
      <c r="C122" s="278" t="s">
        <v>109</v>
      </c>
    </row>
    <row r="123" spans="1:3" x14ac:dyDescent="0.25">
      <c r="A123" s="278" t="s">
        <v>151</v>
      </c>
      <c r="B123" s="278" t="s">
        <v>186</v>
      </c>
      <c r="C123" s="278" t="s">
        <v>109</v>
      </c>
    </row>
    <row r="124" spans="1:3" x14ac:dyDescent="0.25">
      <c r="A124" s="278" t="s">
        <v>152</v>
      </c>
      <c r="B124" s="278" t="s">
        <v>187</v>
      </c>
      <c r="C124" s="278" t="s">
        <v>109</v>
      </c>
    </row>
    <row r="125" spans="1:3" x14ac:dyDescent="0.25">
      <c r="A125" s="278" t="s">
        <v>153</v>
      </c>
      <c r="B125" s="278" t="s">
        <v>188</v>
      </c>
      <c r="C125" s="278" t="s">
        <v>109</v>
      </c>
    </row>
    <row r="126" spans="1:3" x14ac:dyDescent="0.25">
      <c r="A126" s="278" t="s">
        <v>154</v>
      </c>
      <c r="B126" s="278" t="s">
        <v>189</v>
      </c>
      <c r="C126" s="278" t="s">
        <v>109</v>
      </c>
    </row>
    <row r="127" spans="1:3" x14ac:dyDescent="0.25">
      <c r="A127" s="278" t="s">
        <v>155</v>
      </c>
      <c r="B127" s="278" t="s">
        <v>190</v>
      </c>
      <c r="C127" s="278" t="s">
        <v>109</v>
      </c>
    </row>
    <row r="128" spans="1:3" x14ac:dyDescent="0.25">
      <c r="A128" s="278" t="s">
        <v>156</v>
      </c>
      <c r="B128" s="278" t="s">
        <v>191</v>
      </c>
      <c r="C128" s="278" t="s">
        <v>109</v>
      </c>
    </row>
    <row r="129" spans="1:3" x14ac:dyDescent="0.25">
      <c r="A129" s="278" t="s">
        <v>157</v>
      </c>
      <c r="B129" s="278" t="s">
        <v>192</v>
      </c>
      <c r="C129" s="278" t="s">
        <v>109</v>
      </c>
    </row>
    <row r="130" spans="1:3" x14ac:dyDescent="0.25">
      <c r="A130" s="278" t="s">
        <v>158</v>
      </c>
      <c r="B130" s="278" t="s">
        <v>193</v>
      </c>
      <c r="C130" s="278" t="s">
        <v>109</v>
      </c>
    </row>
    <row r="131" spans="1:3" x14ac:dyDescent="0.25">
      <c r="A131" s="278" t="s">
        <v>159</v>
      </c>
      <c r="B131" s="278" t="s">
        <v>194</v>
      </c>
      <c r="C131" s="278" t="s">
        <v>109</v>
      </c>
    </row>
    <row r="132" spans="1:3" x14ac:dyDescent="0.25">
      <c r="A132" s="278" t="s">
        <v>160</v>
      </c>
      <c r="B132" s="278" t="s">
        <v>195</v>
      </c>
      <c r="C132" s="278" t="s">
        <v>109</v>
      </c>
    </row>
    <row r="133" spans="1:3" x14ac:dyDescent="0.25">
      <c r="A133" s="278" t="s">
        <v>161</v>
      </c>
      <c r="B133" s="278" t="s">
        <v>196</v>
      </c>
      <c r="C133" s="278" t="s">
        <v>109</v>
      </c>
    </row>
    <row r="134" spans="1:3" x14ac:dyDescent="0.25">
      <c r="A134" s="278" t="s">
        <v>162</v>
      </c>
      <c r="B134" s="278" t="s">
        <v>197</v>
      </c>
      <c r="C134" s="278" t="s">
        <v>109</v>
      </c>
    </row>
    <row r="135" spans="1:3" x14ac:dyDescent="0.25">
      <c r="A135" s="278" t="s">
        <v>163</v>
      </c>
      <c r="B135" s="278" t="s">
        <v>198</v>
      </c>
      <c r="C135" s="278" t="s">
        <v>109</v>
      </c>
    </row>
    <row r="136" spans="1:3" x14ac:dyDescent="0.25">
      <c r="A136" s="278" t="s">
        <v>854</v>
      </c>
      <c r="B136" s="278" t="s">
        <v>855</v>
      </c>
      <c r="C136" s="278" t="s">
        <v>110</v>
      </c>
    </row>
    <row r="137" spans="1:3" x14ac:dyDescent="0.25">
      <c r="A137" s="278" t="s">
        <v>856</v>
      </c>
      <c r="B137" s="278" t="s">
        <v>857</v>
      </c>
      <c r="C137" s="278" t="s">
        <v>110</v>
      </c>
    </row>
    <row r="138" spans="1:3" x14ac:dyDescent="0.25">
      <c r="A138" s="278" t="s">
        <v>858</v>
      </c>
      <c r="B138" s="278" t="s">
        <v>859</v>
      </c>
      <c r="C138" s="278" t="s">
        <v>110</v>
      </c>
    </row>
    <row r="139" spans="1:3" x14ac:dyDescent="0.25">
      <c r="A139" s="278" t="s">
        <v>860</v>
      </c>
      <c r="B139" s="278" t="s">
        <v>861</v>
      </c>
      <c r="C139" s="278" t="s">
        <v>110</v>
      </c>
    </row>
    <row r="140" spans="1:3" x14ac:dyDescent="0.25">
      <c r="A140" s="278" t="s">
        <v>862</v>
      </c>
      <c r="B140" s="278" t="s">
        <v>166</v>
      </c>
      <c r="C140" s="278" t="s">
        <v>110</v>
      </c>
    </row>
    <row r="141" spans="1:3" x14ac:dyDescent="0.25">
      <c r="A141" s="278" t="s">
        <v>863</v>
      </c>
      <c r="B141" s="278" t="s">
        <v>864</v>
      </c>
      <c r="C141" s="278" t="s">
        <v>110</v>
      </c>
    </row>
    <row r="142" spans="1:3" x14ac:dyDescent="0.25">
      <c r="A142" s="278" t="s">
        <v>865</v>
      </c>
      <c r="B142" s="278" t="s">
        <v>866</v>
      </c>
      <c r="C142" s="278" t="s">
        <v>110</v>
      </c>
    </row>
    <row r="143" spans="1:3" x14ac:dyDescent="0.25">
      <c r="A143" s="278" t="s">
        <v>867</v>
      </c>
      <c r="B143" s="278" t="s">
        <v>868</v>
      </c>
      <c r="C143" s="278" t="s">
        <v>110</v>
      </c>
    </row>
    <row r="144" spans="1:3" x14ac:dyDescent="0.25">
      <c r="A144" s="278" t="s">
        <v>869</v>
      </c>
      <c r="B144" s="278" t="s">
        <v>870</v>
      </c>
      <c r="C144" s="278" t="s">
        <v>110</v>
      </c>
    </row>
    <row r="145" spans="1:3" x14ac:dyDescent="0.25">
      <c r="A145" s="278" t="s">
        <v>871</v>
      </c>
      <c r="B145" s="278" t="s">
        <v>872</v>
      </c>
      <c r="C145" s="278" t="s">
        <v>110</v>
      </c>
    </row>
    <row r="146" spans="1:3" x14ac:dyDescent="0.25">
      <c r="A146" s="278" t="s">
        <v>873</v>
      </c>
      <c r="B146" s="278" t="s">
        <v>874</v>
      </c>
      <c r="C146" s="278" t="s">
        <v>110</v>
      </c>
    </row>
    <row r="147" spans="1:3" x14ac:dyDescent="0.25">
      <c r="A147" s="278" t="s">
        <v>875</v>
      </c>
      <c r="B147" s="278" t="s">
        <v>876</v>
      </c>
      <c r="C147" s="278" t="s">
        <v>110</v>
      </c>
    </row>
    <row r="148" spans="1:3" x14ac:dyDescent="0.25">
      <c r="A148" s="278" t="s">
        <v>877</v>
      </c>
      <c r="B148" s="278" t="s">
        <v>878</v>
      </c>
      <c r="C148" s="278" t="s">
        <v>110</v>
      </c>
    </row>
    <row r="149" spans="1:3" x14ac:dyDescent="0.25">
      <c r="A149" s="278" t="s">
        <v>879</v>
      </c>
      <c r="B149" s="278" t="s">
        <v>880</v>
      </c>
      <c r="C149" s="278" t="s">
        <v>110</v>
      </c>
    </row>
    <row r="150" spans="1:3" x14ac:dyDescent="0.25">
      <c r="A150" s="278" t="s">
        <v>881</v>
      </c>
      <c r="B150" s="278" t="s">
        <v>882</v>
      </c>
      <c r="C150" s="278" t="s">
        <v>110</v>
      </c>
    </row>
    <row r="151" spans="1:3" x14ac:dyDescent="0.25">
      <c r="A151" s="278" t="s">
        <v>597</v>
      </c>
      <c r="B151" s="278" t="s">
        <v>598</v>
      </c>
      <c r="C151" s="278" t="s">
        <v>111</v>
      </c>
    </row>
    <row r="152" spans="1:3" x14ac:dyDescent="0.25">
      <c r="A152" s="278" t="s">
        <v>599</v>
      </c>
      <c r="B152" s="278" t="s">
        <v>600</v>
      </c>
      <c r="C152" s="278" t="s">
        <v>111</v>
      </c>
    </row>
    <row r="153" spans="1:3" x14ac:dyDescent="0.25">
      <c r="A153" s="278" t="s">
        <v>601</v>
      </c>
      <c r="B153" s="278" t="s">
        <v>602</v>
      </c>
      <c r="C153" s="278" t="s">
        <v>111</v>
      </c>
    </row>
    <row r="154" spans="1:3" x14ac:dyDescent="0.25">
      <c r="A154" s="278" t="s">
        <v>603</v>
      </c>
      <c r="B154" s="278" t="s">
        <v>604</v>
      </c>
      <c r="C154" s="278" t="s">
        <v>111</v>
      </c>
    </row>
    <row r="155" spans="1:3" x14ac:dyDescent="0.25">
      <c r="A155" s="278" t="s">
        <v>605</v>
      </c>
      <c r="B155" s="278" t="s">
        <v>606</v>
      </c>
      <c r="C155" s="278" t="s">
        <v>111</v>
      </c>
    </row>
    <row r="156" spans="1:3" x14ac:dyDescent="0.25">
      <c r="A156" s="278" t="s">
        <v>653</v>
      </c>
      <c r="B156" s="278" t="s">
        <v>654</v>
      </c>
      <c r="C156" s="278" t="s">
        <v>111</v>
      </c>
    </row>
    <row r="157" spans="1:3" x14ac:dyDescent="0.25">
      <c r="A157" s="278" t="s">
        <v>655</v>
      </c>
      <c r="B157" s="278" t="s">
        <v>656</v>
      </c>
      <c r="C157" s="278" t="s">
        <v>111</v>
      </c>
    </row>
    <row r="158" spans="1:3" x14ac:dyDescent="0.25">
      <c r="A158" s="278" t="s">
        <v>660</v>
      </c>
      <c r="B158" s="278" t="s">
        <v>661</v>
      </c>
      <c r="C158" s="278" t="s">
        <v>111</v>
      </c>
    </row>
    <row r="159" spans="1:3" x14ac:dyDescent="0.25">
      <c r="A159" s="278" t="s">
        <v>678</v>
      </c>
      <c r="B159" s="278" t="s">
        <v>679</v>
      </c>
      <c r="C159" s="278" t="s">
        <v>111</v>
      </c>
    </row>
    <row r="160" spans="1:3" x14ac:dyDescent="0.25">
      <c r="A160" s="278" t="s">
        <v>607</v>
      </c>
      <c r="B160" s="278" t="s">
        <v>608</v>
      </c>
      <c r="C160" s="278" t="s">
        <v>205</v>
      </c>
    </row>
    <row r="161" spans="1:3" x14ac:dyDescent="0.25">
      <c r="A161" s="278" t="s">
        <v>609</v>
      </c>
      <c r="B161" s="278" t="s">
        <v>610</v>
      </c>
      <c r="C161" s="278" t="s">
        <v>205</v>
      </c>
    </row>
    <row r="162" spans="1:3" x14ac:dyDescent="0.25">
      <c r="A162" s="278" t="s">
        <v>611</v>
      </c>
      <c r="B162" s="278" t="s">
        <v>612</v>
      </c>
      <c r="C162" s="278" t="s">
        <v>205</v>
      </c>
    </row>
    <row r="163" spans="1:3" x14ac:dyDescent="0.25">
      <c r="A163" s="278" t="s">
        <v>613</v>
      </c>
      <c r="B163" s="278" t="s">
        <v>614</v>
      </c>
      <c r="C163" s="278" t="s">
        <v>205</v>
      </c>
    </row>
    <row r="164" spans="1:3" x14ac:dyDescent="0.25">
      <c r="A164" s="278" t="s">
        <v>615</v>
      </c>
      <c r="B164" s="278" t="s">
        <v>616</v>
      </c>
      <c r="C164" s="278" t="s">
        <v>205</v>
      </c>
    </row>
    <row r="165" spans="1:3" x14ac:dyDescent="0.25">
      <c r="A165" s="278" t="s">
        <v>617</v>
      </c>
      <c r="B165" s="278" t="s">
        <v>618</v>
      </c>
      <c r="C165" s="278" t="s">
        <v>205</v>
      </c>
    </row>
    <row r="166" spans="1:3" x14ac:dyDescent="0.25">
      <c r="A166" s="278" t="s">
        <v>619</v>
      </c>
      <c r="B166" s="278" t="s">
        <v>620</v>
      </c>
      <c r="C166" s="278" t="s">
        <v>205</v>
      </c>
    </row>
    <row r="167" spans="1:3" x14ac:dyDescent="0.25">
      <c r="A167" s="278" t="s">
        <v>621</v>
      </c>
      <c r="B167" s="278" t="s">
        <v>622</v>
      </c>
      <c r="C167" s="278" t="s">
        <v>205</v>
      </c>
    </row>
    <row r="168" spans="1:3" x14ac:dyDescent="0.25">
      <c r="A168" s="278" t="s">
        <v>623</v>
      </c>
      <c r="B168" s="278" t="s">
        <v>624</v>
      </c>
      <c r="C168" s="278" t="s">
        <v>205</v>
      </c>
    </row>
    <row r="169" spans="1:3" x14ac:dyDescent="0.25">
      <c r="A169" s="278" t="s">
        <v>625</v>
      </c>
      <c r="B169" s="278" t="s">
        <v>626</v>
      </c>
      <c r="C169" s="278" t="s">
        <v>205</v>
      </c>
    </row>
    <row r="170" spans="1:3" x14ac:dyDescent="0.25">
      <c r="A170" s="278" t="s">
        <v>495</v>
      </c>
      <c r="B170" s="278" t="s">
        <v>496</v>
      </c>
      <c r="C170" s="278" t="s">
        <v>112</v>
      </c>
    </row>
    <row r="171" spans="1:3" x14ac:dyDescent="0.25">
      <c r="A171" s="278" t="s">
        <v>497</v>
      </c>
      <c r="B171" s="278" t="s">
        <v>498</v>
      </c>
      <c r="C171" s="278" t="s">
        <v>112</v>
      </c>
    </row>
    <row r="172" spans="1:3" x14ac:dyDescent="0.25">
      <c r="A172" s="278" t="s">
        <v>499</v>
      </c>
      <c r="B172" s="278" t="s">
        <v>500</v>
      </c>
      <c r="C172" s="278" t="s">
        <v>112</v>
      </c>
    </row>
    <row r="173" spans="1:3" x14ac:dyDescent="0.25">
      <c r="A173" s="278" t="s">
        <v>501</v>
      </c>
      <c r="B173" s="278" t="s">
        <v>502</v>
      </c>
      <c r="C173" s="278" t="s">
        <v>112</v>
      </c>
    </row>
    <row r="174" spans="1:3" x14ac:dyDescent="0.25">
      <c r="A174" s="278" t="s">
        <v>503</v>
      </c>
      <c r="B174" s="278" t="s">
        <v>504</v>
      </c>
      <c r="C174" s="278" t="s">
        <v>112</v>
      </c>
    </row>
    <row r="175" spans="1:3" x14ac:dyDescent="0.25">
      <c r="A175" s="278" t="s">
        <v>505</v>
      </c>
      <c r="B175" s="278" t="s">
        <v>506</v>
      </c>
      <c r="C175" s="278" t="s">
        <v>112</v>
      </c>
    </row>
    <row r="176" spans="1:3" x14ac:dyDescent="0.25">
      <c r="A176" s="278" t="s">
        <v>507</v>
      </c>
      <c r="B176" s="278" t="s">
        <v>508</v>
      </c>
      <c r="C176" s="278" t="s">
        <v>112</v>
      </c>
    </row>
    <row r="177" spans="1:3" x14ac:dyDescent="0.25">
      <c r="A177" s="278" t="s">
        <v>132</v>
      </c>
      <c r="B177" s="278" t="s">
        <v>167</v>
      </c>
      <c r="C177" s="278" t="s">
        <v>113</v>
      </c>
    </row>
    <row r="178" spans="1:3" x14ac:dyDescent="0.25">
      <c r="A178" s="278" t="s">
        <v>133</v>
      </c>
      <c r="B178" s="278" t="s">
        <v>168</v>
      </c>
      <c r="C178" s="278" t="s">
        <v>113</v>
      </c>
    </row>
    <row r="179" spans="1:3" x14ac:dyDescent="0.25">
      <c r="A179" s="278" t="s">
        <v>134</v>
      </c>
      <c r="B179" s="278" t="s">
        <v>169</v>
      </c>
      <c r="C179" s="278" t="s">
        <v>113</v>
      </c>
    </row>
    <row r="180" spans="1:3" x14ac:dyDescent="0.25">
      <c r="A180" s="278" t="s">
        <v>135</v>
      </c>
      <c r="B180" s="278" t="s">
        <v>170</v>
      </c>
      <c r="C180" s="278" t="s">
        <v>113</v>
      </c>
    </row>
    <row r="181" spans="1:3" x14ac:dyDescent="0.25">
      <c r="A181" s="278" t="s">
        <v>136</v>
      </c>
      <c r="B181" s="278" t="s">
        <v>171</v>
      </c>
      <c r="C181" s="278" t="s">
        <v>113</v>
      </c>
    </row>
    <row r="182" spans="1:3" x14ac:dyDescent="0.25">
      <c r="A182" s="278" t="s">
        <v>137</v>
      </c>
      <c r="B182" s="278" t="s">
        <v>172</v>
      </c>
      <c r="C182" s="278" t="s">
        <v>113</v>
      </c>
    </row>
    <row r="183" spans="1:3" x14ac:dyDescent="0.25">
      <c r="A183" s="278" t="s">
        <v>138</v>
      </c>
      <c r="B183" s="278" t="s">
        <v>173</v>
      </c>
      <c r="C183" s="278" t="s">
        <v>113</v>
      </c>
    </row>
    <row r="184" spans="1:3" x14ac:dyDescent="0.25">
      <c r="A184" s="278" t="s">
        <v>139</v>
      </c>
      <c r="B184" s="278" t="s">
        <v>174</v>
      </c>
      <c r="C184" s="278" t="s">
        <v>113</v>
      </c>
    </row>
    <row r="185" spans="1:3" x14ac:dyDescent="0.25">
      <c r="A185" s="278" t="s">
        <v>140</v>
      </c>
      <c r="B185" s="278" t="s">
        <v>175</v>
      </c>
      <c r="C185" s="278" t="s">
        <v>113</v>
      </c>
    </row>
    <row r="186" spans="1:3" x14ac:dyDescent="0.25">
      <c r="A186" s="278" t="s">
        <v>141</v>
      </c>
      <c r="B186" s="278" t="s">
        <v>176</v>
      </c>
      <c r="C186" s="278" t="s">
        <v>113</v>
      </c>
    </row>
    <row r="187" spans="1:3" x14ac:dyDescent="0.25">
      <c r="A187" s="278" t="s">
        <v>142</v>
      </c>
      <c r="B187" s="278" t="s">
        <v>177</v>
      </c>
      <c r="C187" s="278" t="s">
        <v>113</v>
      </c>
    </row>
    <row r="188" spans="1:3" x14ac:dyDescent="0.25">
      <c r="A188" s="278" t="s">
        <v>143</v>
      </c>
      <c r="B188" s="278" t="s">
        <v>178</v>
      </c>
      <c r="C188" s="278" t="s">
        <v>113</v>
      </c>
    </row>
    <row r="189" spans="1:3" x14ac:dyDescent="0.25">
      <c r="A189" s="278" t="s">
        <v>144</v>
      </c>
      <c r="B189" s="278" t="s">
        <v>179</v>
      </c>
      <c r="C189" s="278" t="s">
        <v>113</v>
      </c>
    </row>
    <row r="190" spans="1:3" x14ac:dyDescent="0.25">
      <c r="A190" s="278" t="s">
        <v>145</v>
      </c>
      <c r="B190" s="278" t="s">
        <v>180</v>
      </c>
      <c r="C190" s="278" t="s">
        <v>113</v>
      </c>
    </row>
    <row r="191" spans="1:3" x14ac:dyDescent="0.25">
      <c r="A191" s="278" t="s">
        <v>359</v>
      </c>
      <c r="B191" s="278" t="s">
        <v>361</v>
      </c>
      <c r="C191" s="278" t="s">
        <v>113</v>
      </c>
    </row>
    <row r="192" spans="1:3" x14ac:dyDescent="0.25">
      <c r="A192" s="278" t="s">
        <v>360</v>
      </c>
      <c r="B192" s="278" t="s">
        <v>362</v>
      </c>
      <c r="C192" s="278" t="s">
        <v>113</v>
      </c>
    </row>
    <row r="193" spans="1:3" x14ac:dyDescent="0.25">
      <c r="A193" s="278" t="s">
        <v>490</v>
      </c>
      <c r="B193" s="278" t="s">
        <v>491</v>
      </c>
      <c r="C193" s="278" t="s">
        <v>492</v>
      </c>
    </row>
    <row r="194" spans="1:3" x14ac:dyDescent="0.25">
      <c r="A194" s="278" t="s">
        <v>493</v>
      </c>
      <c r="B194" s="278" t="s">
        <v>494</v>
      </c>
      <c r="C194" s="278" t="s">
        <v>492</v>
      </c>
    </row>
    <row r="195" spans="1:3" x14ac:dyDescent="0.25">
      <c r="A195" s="278" t="s">
        <v>509</v>
      </c>
      <c r="B195" s="278" t="s">
        <v>510</v>
      </c>
      <c r="C195" s="278" t="s">
        <v>114</v>
      </c>
    </row>
    <row r="196" spans="1:3" x14ac:dyDescent="0.25">
      <c r="A196" s="278" t="s">
        <v>511</v>
      </c>
      <c r="B196" s="278" t="s">
        <v>512</v>
      </c>
      <c r="C196" s="278" t="s">
        <v>114</v>
      </c>
    </row>
    <row r="197" spans="1:3" x14ac:dyDescent="0.25">
      <c r="A197" s="278" t="s">
        <v>513</v>
      </c>
      <c r="B197" s="278" t="s">
        <v>514</v>
      </c>
      <c r="C197" s="278" t="s">
        <v>114</v>
      </c>
    </row>
    <row r="198" spans="1:3" x14ac:dyDescent="0.25">
      <c r="A198" s="278" t="s">
        <v>515</v>
      </c>
      <c r="B198" s="278" t="s">
        <v>516</v>
      </c>
      <c r="C198" s="278" t="s">
        <v>114</v>
      </c>
    </row>
    <row r="199" spans="1:3" x14ac:dyDescent="0.25">
      <c r="A199" s="278" t="s">
        <v>517</v>
      </c>
      <c r="B199" s="278" t="s">
        <v>518</v>
      </c>
      <c r="C199" s="278" t="s">
        <v>114</v>
      </c>
    </row>
    <row r="200" spans="1:3" x14ac:dyDescent="0.25">
      <c r="A200" s="278" t="s">
        <v>519</v>
      </c>
      <c r="B200" s="278" t="s">
        <v>520</v>
      </c>
      <c r="C200" s="278" t="s">
        <v>114</v>
      </c>
    </row>
    <row r="201" spans="1:3" x14ac:dyDescent="0.25">
      <c r="A201" s="278" t="s">
        <v>521</v>
      </c>
      <c r="B201" s="278" t="s">
        <v>522</v>
      </c>
      <c r="C201" s="278" t="s">
        <v>114</v>
      </c>
    </row>
    <row r="202" spans="1:3" x14ac:dyDescent="0.25">
      <c r="A202" s="278" t="s">
        <v>523</v>
      </c>
      <c r="B202" s="278" t="s">
        <v>524</v>
      </c>
      <c r="C202" s="278" t="s">
        <v>114</v>
      </c>
    </row>
    <row r="203" spans="1:3" x14ac:dyDescent="0.25">
      <c r="A203" s="278" t="s">
        <v>525</v>
      </c>
      <c r="B203" s="278" t="s">
        <v>526</v>
      </c>
      <c r="C203" s="278" t="s">
        <v>114</v>
      </c>
    </row>
    <row r="204" spans="1:3" x14ac:dyDescent="0.25">
      <c r="A204" s="278" t="s">
        <v>527</v>
      </c>
      <c r="B204" s="278" t="s">
        <v>528</v>
      </c>
      <c r="C204" s="278" t="s">
        <v>114</v>
      </c>
    </row>
    <row r="205" spans="1:3" x14ac:dyDescent="0.25">
      <c r="A205" s="278" t="s">
        <v>529</v>
      </c>
      <c r="B205" s="278" t="s">
        <v>530</v>
      </c>
      <c r="C205" s="278" t="s">
        <v>114</v>
      </c>
    </row>
    <row r="206" spans="1:3" x14ac:dyDescent="0.25">
      <c r="A206" s="278" t="s">
        <v>531</v>
      </c>
      <c r="B206" s="278" t="s">
        <v>532</v>
      </c>
      <c r="C206" s="278" t="s">
        <v>114</v>
      </c>
    </row>
    <row r="207" spans="1:3" x14ac:dyDescent="0.25">
      <c r="A207" s="278" t="s">
        <v>533</v>
      </c>
      <c r="B207" s="278" t="s">
        <v>534</v>
      </c>
      <c r="C207" s="278" t="s">
        <v>114</v>
      </c>
    </row>
    <row r="208" spans="1:3" x14ac:dyDescent="0.25">
      <c r="A208" s="278" t="s">
        <v>535</v>
      </c>
      <c r="B208" s="278" t="s">
        <v>536</v>
      </c>
      <c r="C208" s="278" t="s">
        <v>114</v>
      </c>
    </row>
    <row r="209" spans="1:3" x14ac:dyDescent="0.25">
      <c r="A209" s="278" t="s">
        <v>537</v>
      </c>
      <c r="B209" s="278" t="s">
        <v>538</v>
      </c>
      <c r="C209" s="278" t="s">
        <v>114</v>
      </c>
    </row>
    <row r="210" spans="1:3" x14ac:dyDescent="0.25">
      <c r="A210" s="278" t="s">
        <v>539</v>
      </c>
      <c r="B210" s="278" t="s">
        <v>540</v>
      </c>
      <c r="C210" s="278" t="s">
        <v>114</v>
      </c>
    </row>
    <row r="211" spans="1:3" x14ac:dyDescent="0.25">
      <c r="A211" s="278" t="s">
        <v>541</v>
      </c>
      <c r="B211" s="278" t="s">
        <v>542</v>
      </c>
      <c r="C211" s="278" t="s">
        <v>114</v>
      </c>
    </row>
    <row r="212" spans="1:3" x14ac:dyDescent="0.25">
      <c r="A212" s="278" t="s">
        <v>543</v>
      </c>
      <c r="B212" s="278" t="s">
        <v>544</v>
      </c>
      <c r="C212" s="278" t="s">
        <v>114</v>
      </c>
    </row>
    <row r="213" spans="1:3" x14ac:dyDescent="0.25">
      <c r="A213" s="278" t="s">
        <v>545</v>
      </c>
      <c r="B213" s="278" t="s">
        <v>546</v>
      </c>
      <c r="C213" s="278" t="s">
        <v>114</v>
      </c>
    </row>
    <row r="214" spans="1:3" x14ac:dyDescent="0.25">
      <c r="A214" s="278" t="s">
        <v>547</v>
      </c>
      <c r="B214" s="278" t="s">
        <v>548</v>
      </c>
      <c r="C214" s="278" t="s">
        <v>114</v>
      </c>
    </row>
    <row r="215" spans="1:3" x14ac:dyDescent="0.25">
      <c r="A215" s="278" t="s">
        <v>557</v>
      </c>
      <c r="B215" s="278" t="s">
        <v>558</v>
      </c>
      <c r="C215" s="278" t="s">
        <v>114</v>
      </c>
    </row>
    <row r="216" spans="1:3" x14ac:dyDescent="0.25">
      <c r="A216" s="278" t="s">
        <v>559</v>
      </c>
      <c r="B216" s="278" t="s">
        <v>560</v>
      </c>
      <c r="C216" s="278" t="s">
        <v>114</v>
      </c>
    </row>
    <row r="217" spans="1:3" x14ac:dyDescent="0.25">
      <c r="A217" s="278" t="s">
        <v>561</v>
      </c>
      <c r="B217" s="278" t="s">
        <v>562</v>
      </c>
      <c r="C217" s="278" t="s">
        <v>114</v>
      </c>
    </row>
    <row r="218" spans="1:3" x14ac:dyDescent="0.25">
      <c r="A218" s="278" t="s">
        <v>710</v>
      </c>
      <c r="B218" s="278" t="s">
        <v>711</v>
      </c>
      <c r="C218" s="278" t="s">
        <v>115</v>
      </c>
    </row>
    <row r="219" spans="1:3" x14ac:dyDescent="0.25">
      <c r="A219" s="278" t="s">
        <v>712</v>
      </c>
      <c r="B219" s="278" t="s">
        <v>713</v>
      </c>
      <c r="C219" s="278" t="s">
        <v>115</v>
      </c>
    </row>
    <row r="220" spans="1:3" x14ac:dyDescent="0.25">
      <c r="A220" s="278" t="s">
        <v>714</v>
      </c>
      <c r="B220" s="278" t="s">
        <v>715</v>
      </c>
      <c r="C220" s="278" t="s">
        <v>115</v>
      </c>
    </row>
    <row r="221" spans="1:3" x14ac:dyDescent="0.25">
      <c r="A221" s="278" t="s">
        <v>716</v>
      </c>
      <c r="B221" s="278" t="s">
        <v>717</v>
      </c>
      <c r="C221" s="278" t="s">
        <v>115</v>
      </c>
    </row>
    <row r="222" spans="1:3" x14ac:dyDescent="0.25">
      <c r="A222" s="278" t="s">
        <v>718</v>
      </c>
      <c r="B222" s="278" t="s">
        <v>719</v>
      </c>
      <c r="C222" s="278" t="s">
        <v>115</v>
      </c>
    </row>
    <row r="223" spans="1:3" x14ac:dyDescent="0.25">
      <c r="A223" s="278" t="s">
        <v>720</v>
      </c>
      <c r="B223" s="278" t="s">
        <v>721</v>
      </c>
      <c r="C223" s="278" t="s">
        <v>115</v>
      </c>
    </row>
    <row r="224" spans="1:3" x14ac:dyDescent="0.25">
      <c r="A224" s="278" t="s">
        <v>722</v>
      </c>
      <c r="B224" s="278" t="s">
        <v>723</v>
      </c>
      <c r="C224" s="278" t="s">
        <v>115</v>
      </c>
    </row>
    <row r="225" spans="1:3" x14ac:dyDescent="0.25">
      <c r="A225" s="278" t="s">
        <v>724</v>
      </c>
      <c r="B225" s="278" t="s">
        <v>725</v>
      </c>
      <c r="C225" s="278" t="s">
        <v>115</v>
      </c>
    </row>
    <row r="226" spans="1:3" x14ac:dyDescent="0.25">
      <c r="A226" s="278" t="s">
        <v>726</v>
      </c>
      <c r="B226" s="278" t="s">
        <v>727</v>
      </c>
      <c r="C226" s="278" t="s">
        <v>115</v>
      </c>
    </row>
    <row r="227" spans="1:3" x14ac:dyDescent="0.25">
      <c r="A227" s="278" t="s">
        <v>728</v>
      </c>
      <c r="B227" s="278" t="s">
        <v>729</v>
      </c>
      <c r="C227" s="278" t="s">
        <v>115</v>
      </c>
    </row>
    <row r="228" spans="1:3" x14ac:dyDescent="0.25">
      <c r="A228" s="278" t="s">
        <v>730</v>
      </c>
      <c r="B228" s="278" t="s">
        <v>731</v>
      </c>
      <c r="C228" s="278" t="s">
        <v>115</v>
      </c>
    </row>
    <row r="229" spans="1:3" x14ac:dyDescent="0.25">
      <c r="A229" s="278" t="s">
        <v>448</v>
      </c>
      <c r="B229" s="278" t="s">
        <v>449</v>
      </c>
      <c r="C229" s="278" t="s">
        <v>116</v>
      </c>
    </row>
    <row r="230" spans="1:3" x14ac:dyDescent="0.25">
      <c r="A230" s="278" t="s">
        <v>450</v>
      </c>
      <c r="B230" s="278" t="s">
        <v>451</v>
      </c>
      <c r="C230" s="278" t="s">
        <v>116</v>
      </c>
    </row>
    <row r="231" spans="1:3" x14ac:dyDescent="0.25">
      <c r="A231" s="278" t="s">
        <v>452</v>
      </c>
      <c r="B231" s="278" t="s">
        <v>453</v>
      </c>
      <c r="C231" s="278" t="s">
        <v>116</v>
      </c>
    </row>
    <row r="232" spans="1:3" x14ac:dyDescent="0.25">
      <c r="A232" s="278" t="s">
        <v>454</v>
      </c>
      <c r="B232" s="278" t="s">
        <v>455</v>
      </c>
      <c r="C232" s="278" t="s">
        <v>116</v>
      </c>
    </row>
    <row r="233" spans="1:3" x14ac:dyDescent="0.25">
      <c r="A233" s="278" t="s">
        <v>456</v>
      </c>
      <c r="B233" s="278" t="s">
        <v>457</v>
      </c>
      <c r="C233" s="278" t="s">
        <v>116</v>
      </c>
    </row>
    <row r="234" spans="1:3" x14ac:dyDescent="0.25">
      <c r="A234" s="278" t="s">
        <v>458</v>
      </c>
      <c r="B234" s="278" t="s">
        <v>459</v>
      </c>
      <c r="C234" s="278" t="s">
        <v>116</v>
      </c>
    </row>
    <row r="235" spans="1:3" x14ac:dyDescent="0.25">
      <c r="A235" s="278" t="s">
        <v>460</v>
      </c>
      <c r="B235" s="278" t="s">
        <v>461</v>
      </c>
      <c r="C235" s="278" t="s">
        <v>116</v>
      </c>
    </row>
    <row r="236" spans="1:3" x14ac:dyDescent="0.25">
      <c r="A236" s="278" t="s">
        <v>462</v>
      </c>
      <c r="B236" s="278" t="s">
        <v>463</v>
      </c>
      <c r="C236" s="278" t="s">
        <v>116</v>
      </c>
    </row>
    <row r="237" spans="1:3" x14ac:dyDescent="0.25">
      <c r="A237" s="278" t="s">
        <v>464</v>
      </c>
      <c r="B237" s="278" t="s">
        <v>465</v>
      </c>
      <c r="C237" s="278" t="s">
        <v>116</v>
      </c>
    </row>
    <row r="238" spans="1:3" x14ac:dyDescent="0.25">
      <c r="A238" s="278" t="s">
        <v>131</v>
      </c>
      <c r="B238" s="278" t="s">
        <v>165</v>
      </c>
      <c r="C238" s="278" t="s">
        <v>116</v>
      </c>
    </row>
    <row r="239" spans="1:3" x14ac:dyDescent="0.25">
      <c r="A239" s="278" t="s">
        <v>472</v>
      </c>
      <c r="B239" s="278" t="s">
        <v>473</v>
      </c>
      <c r="C239" s="278" t="s">
        <v>117</v>
      </c>
    </row>
    <row r="240" spans="1:3" x14ac:dyDescent="0.25">
      <c r="A240" s="278" t="s">
        <v>474</v>
      </c>
      <c r="B240" s="278" t="s">
        <v>475</v>
      </c>
      <c r="C240" s="278" t="s">
        <v>117</v>
      </c>
    </row>
    <row r="241" spans="1:3" x14ac:dyDescent="0.25">
      <c r="A241" s="278" t="s">
        <v>446</v>
      </c>
      <c r="B241" s="278" t="s">
        <v>447</v>
      </c>
      <c r="C241" s="278" t="s">
        <v>118</v>
      </c>
    </row>
    <row r="242" spans="1:3" x14ac:dyDescent="0.25">
      <c r="A242" s="278" t="s">
        <v>659</v>
      </c>
      <c r="B242" s="278" t="s">
        <v>315</v>
      </c>
      <c r="C242" s="278" t="s">
        <v>315</v>
      </c>
    </row>
    <row r="243" spans="1:3" x14ac:dyDescent="0.25">
      <c r="A243" s="278" t="s">
        <v>445</v>
      </c>
      <c r="B243" s="278" t="s">
        <v>119</v>
      </c>
      <c r="C243" s="278" t="s">
        <v>119</v>
      </c>
    </row>
    <row r="244" spans="1:3" x14ac:dyDescent="0.25">
      <c r="A244" s="278" t="s">
        <v>635</v>
      </c>
      <c r="B244" s="278" t="s">
        <v>636</v>
      </c>
      <c r="C244" s="278" t="s">
        <v>120</v>
      </c>
    </row>
    <row r="245" spans="1:3" x14ac:dyDescent="0.25">
      <c r="A245" s="278" t="s">
        <v>637</v>
      </c>
      <c r="B245" s="278" t="s">
        <v>638</v>
      </c>
      <c r="C245" s="278" t="s">
        <v>120</v>
      </c>
    </row>
    <row r="246" spans="1:3" x14ac:dyDescent="0.25">
      <c r="A246" s="278" t="s">
        <v>639</v>
      </c>
      <c r="B246" s="278" t="s">
        <v>640</v>
      </c>
      <c r="C246" s="278" t="s">
        <v>120</v>
      </c>
    </row>
    <row r="247" spans="1:3" x14ac:dyDescent="0.25">
      <c r="A247" s="278" t="s">
        <v>680</v>
      </c>
      <c r="B247" s="278" t="s">
        <v>681</v>
      </c>
      <c r="C247" s="278" t="s">
        <v>120</v>
      </c>
    </row>
    <row r="248" spans="1:3" x14ac:dyDescent="0.25">
      <c r="A248" s="278" t="s">
        <v>682</v>
      </c>
      <c r="B248" s="278" t="s">
        <v>683</v>
      </c>
      <c r="C248" s="278" t="s">
        <v>120</v>
      </c>
    </row>
    <row r="249" spans="1:3" x14ac:dyDescent="0.25">
      <c r="A249" s="278" t="s">
        <v>684</v>
      </c>
      <c r="B249" s="278" t="s">
        <v>685</v>
      </c>
      <c r="C249" s="278" t="s">
        <v>120</v>
      </c>
    </row>
    <row r="250" spans="1:3" x14ac:dyDescent="0.25">
      <c r="A250" s="278" t="s">
        <v>686</v>
      </c>
      <c r="B250" s="278" t="s">
        <v>687</v>
      </c>
      <c r="C250" s="278" t="s">
        <v>120</v>
      </c>
    </row>
    <row r="251" spans="1:3" x14ac:dyDescent="0.25">
      <c r="A251" s="278" t="s">
        <v>688</v>
      </c>
      <c r="B251" s="278" t="s">
        <v>689</v>
      </c>
      <c r="C251" s="278" t="s">
        <v>120</v>
      </c>
    </row>
    <row r="252" spans="1:3" x14ac:dyDescent="0.25">
      <c r="A252" s="278" t="s">
        <v>690</v>
      </c>
      <c r="B252" s="278" t="s">
        <v>691</v>
      </c>
      <c r="C252" s="278" t="s">
        <v>120</v>
      </c>
    </row>
    <row r="253" spans="1:3" x14ac:dyDescent="0.25">
      <c r="A253" s="278" t="s">
        <v>692</v>
      </c>
      <c r="B253" s="278" t="s">
        <v>693</v>
      </c>
      <c r="C253" s="278" t="s">
        <v>120</v>
      </c>
    </row>
    <row r="254" spans="1:3" x14ac:dyDescent="0.25">
      <c r="A254" s="278" t="s">
        <v>694</v>
      </c>
      <c r="B254" s="278" t="s">
        <v>695</v>
      </c>
      <c r="C254" s="278" t="s">
        <v>120</v>
      </c>
    </row>
    <row r="255" spans="1:3" x14ac:dyDescent="0.25">
      <c r="A255" s="278" t="s">
        <v>696</v>
      </c>
      <c r="B255" s="278" t="s">
        <v>697</v>
      </c>
      <c r="C255" s="278" t="s">
        <v>120</v>
      </c>
    </row>
    <row r="256" spans="1:3" x14ac:dyDescent="0.25">
      <c r="A256" s="278" t="s">
        <v>482</v>
      </c>
      <c r="B256" s="278" t="s">
        <v>483</v>
      </c>
      <c r="C256" s="278" t="s">
        <v>121</v>
      </c>
    </row>
    <row r="257" spans="1:3" x14ac:dyDescent="0.25">
      <c r="A257" s="278" t="s">
        <v>484</v>
      </c>
      <c r="B257" s="278" t="s">
        <v>485</v>
      </c>
      <c r="C257" s="278" t="s">
        <v>121</v>
      </c>
    </row>
    <row r="258" spans="1:3" x14ac:dyDescent="0.25">
      <c r="A258" s="278" t="s">
        <v>486</v>
      </c>
      <c r="B258" s="278" t="s">
        <v>487</v>
      </c>
      <c r="C258" s="278" t="s">
        <v>121</v>
      </c>
    </row>
    <row r="259" spans="1:3" x14ac:dyDescent="0.25">
      <c r="A259" s="278" t="s">
        <v>488</v>
      </c>
      <c r="B259" s="278" t="s">
        <v>489</v>
      </c>
      <c r="C259" s="278" t="s">
        <v>121</v>
      </c>
    </row>
  </sheetData>
  <autoFilter ref="A1:C259" xr:uid="{5B79ECE7-7E5F-4256-826D-F54C3331EA1F}">
    <sortState xmlns:xlrd2="http://schemas.microsoft.com/office/spreadsheetml/2017/richdata2" ref="A2:C259">
      <sortCondition ref="C1:C259"/>
    </sortState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36353-99DD-43C4-AB6B-A90D4717F9FF}">
  <dimension ref="A2:B30"/>
  <sheetViews>
    <sheetView workbookViewId="0">
      <selection activeCell="G11" sqref="G11"/>
    </sheetView>
  </sheetViews>
  <sheetFormatPr baseColWidth="10" defaultRowHeight="30" customHeight="1" x14ac:dyDescent="0.25"/>
  <cols>
    <col min="1" max="2" width="24.28515625" customWidth="1"/>
  </cols>
  <sheetData>
    <row r="2" spans="1:2" ht="30" customHeight="1" x14ac:dyDescent="0.25">
      <c r="A2" t="s">
        <v>907</v>
      </c>
    </row>
    <row r="3" spans="1:2" ht="30" customHeight="1" thickBot="1" x14ac:dyDescent="0.3">
      <c r="A3" s="279"/>
    </row>
    <row r="4" spans="1:2" ht="30" customHeight="1" thickBot="1" x14ac:dyDescent="0.3">
      <c r="A4" s="280">
        <v>48</v>
      </c>
      <c r="B4" s="281" t="s">
        <v>887</v>
      </c>
    </row>
    <row r="5" spans="1:2" ht="30" customHeight="1" thickBot="1" x14ac:dyDescent="0.3">
      <c r="A5" s="282">
        <v>49</v>
      </c>
      <c r="B5" s="283" t="s">
        <v>440</v>
      </c>
    </row>
    <row r="6" spans="1:2" ht="30" customHeight="1" thickBot="1" x14ac:dyDescent="0.3">
      <c r="A6" s="282">
        <v>496</v>
      </c>
      <c r="B6" s="283" t="s">
        <v>441</v>
      </c>
    </row>
    <row r="7" spans="1:2" ht="30" customHeight="1" thickBot="1" x14ac:dyDescent="0.3">
      <c r="A7" s="282">
        <v>922</v>
      </c>
      <c r="B7" s="284" t="s">
        <v>888</v>
      </c>
    </row>
    <row r="8" spans="1:2" ht="30" customHeight="1" thickBot="1" x14ac:dyDescent="0.3">
      <c r="A8" s="282">
        <v>748</v>
      </c>
      <c r="B8" s="283" t="s">
        <v>889</v>
      </c>
    </row>
    <row r="9" spans="1:2" ht="30" customHeight="1" thickBot="1" x14ac:dyDescent="0.3">
      <c r="A9" s="282">
        <v>1133</v>
      </c>
      <c r="B9" s="283" t="s">
        <v>890</v>
      </c>
    </row>
    <row r="10" spans="1:2" ht="30" customHeight="1" thickBot="1" x14ac:dyDescent="0.3">
      <c r="A10" s="282">
        <v>1053</v>
      </c>
      <c r="B10" s="283" t="s">
        <v>891</v>
      </c>
    </row>
    <row r="11" spans="1:2" ht="30" customHeight="1" thickBot="1" x14ac:dyDescent="0.3">
      <c r="A11" s="282">
        <v>101</v>
      </c>
      <c r="B11" s="283" t="s">
        <v>892</v>
      </c>
    </row>
    <row r="12" spans="1:2" ht="30" customHeight="1" thickBot="1" x14ac:dyDescent="0.3">
      <c r="A12" s="282">
        <v>660</v>
      </c>
      <c r="B12" s="283" t="s">
        <v>893</v>
      </c>
    </row>
    <row r="13" spans="1:2" ht="30" customHeight="1" x14ac:dyDescent="0.25">
      <c r="A13" s="285"/>
    </row>
    <row r="14" spans="1:2" ht="30" customHeight="1" x14ac:dyDescent="0.25">
      <c r="A14" s="286" t="s">
        <v>908</v>
      </c>
    </row>
    <row r="15" spans="1:2" ht="30" customHeight="1" thickBot="1" x14ac:dyDescent="0.3">
      <c r="A15" s="285"/>
    </row>
    <row r="16" spans="1:2" ht="30" customHeight="1" thickBot="1" x14ac:dyDescent="0.3">
      <c r="A16" s="280">
        <v>27</v>
      </c>
      <c r="B16" s="281" t="s">
        <v>894</v>
      </c>
    </row>
    <row r="17" spans="1:2" ht="30" customHeight="1" thickBot="1" x14ac:dyDescent="0.3">
      <c r="A17" s="282">
        <v>1248</v>
      </c>
      <c r="B17" s="283" t="s">
        <v>895</v>
      </c>
    </row>
    <row r="18" spans="1:2" ht="30" customHeight="1" thickBot="1" x14ac:dyDescent="0.3">
      <c r="A18" s="282">
        <v>443</v>
      </c>
      <c r="B18" s="283" t="s">
        <v>896</v>
      </c>
    </row>
    <row r="19" spans="1:2" ht="30" customHeight="1" thickBot="1" x14ac:dyDescent="0.3">
      <c r="A19" s="282">
        <v>444</v>
      </c>
      <c r="B19" s="283" t="s">
        <v>897</v>
      </c>
    </row>
    <row r="20" spans="1:2" ht="30" customHeight="1" thickBot="1" x14ac:dyDescent="0.3">
      <c r="A20" s="282">
        <v>504</v>
      </c>
      <c r="B20" s="283" t="s">
        <v>898</v>
      </c>
    </row>
    <row r="21" spans="1:2" ht="30" customHeight="1" thickBot="1" x14ac:dyDescent="0.3">
      <c r="A21" s="282">
        <v>582</v>
      </c>
      <c r="B21" s="284" t="s">
        <v>899</v>
      </c>
    </row>
    <row r="22" spans="1:2" ht="30" customHeight="1" thickBot="1" x14ac:dyDescent="0.3">
      <c r="A22" s="282">
        <v>115</v>
      </c>
      <c r="B22" s="283" t="s">
        <v>900</v>
      </c>
    </row>
    <row r="23" spans="1:2" ht="30" customHeight="1" thickBot="1" x14ac:dyDescent="0.3">
      <c r="A23" s="282">
        <v>486</v>
      </c>
      <c r="B23" s="283" t="s">
        <v>901</v>
      </c>
    </row>
    <row r="24" spans="1:2" ht="30" customHeight="1" thickBot="1" x14ac:dyDescent="0.3">
      <c r="A24" s="282">
        <v>33</v>
      </c>
      <c r="B24" s="284" t="s">
        <v>902</v>
      </c>
    </row>
    <row r="25" spans="1:2" ht="30" customHeight="1" thickBot="1" x14ac:dyDescent="0.3">
      <c r="A25" s="282">
        <v>716</v>
      </c>
      <c r="B25" s="283" t="s">
        <v>903</v>
      </c>
    </row>
    <row r="26" spans="1:2" ht="30" customHeight="1" thickBot="1" x14ac:dyDescent="0.3">
      <c r="A26" s="282">
        <v>717</v>
      </c>
      <c r="B26" s="283" t="s">
        <v>904</v>
      </c>
    </row>
    <row r="27" spans="1:2" ht="30" customHeight="1" thickBot="1" x14ac:dyDescent="0.3">
      <c r="A27" s="282">
        <v>718</v>
      </c>
      <c r="B27" s="283" t="s">
        <v>905</v>
      </c>
    </row>
    <row r="28" spans="1:2" ht="30" customHeight="1" thickBot="1" x14ac:dyDescent="0.3">
      <c r="A28" s="282">
        <v>709</v>
      </c>
      <c r="B28" s="283" t="s">
        <v>906</v>
      </c>
    </row>
    <row r="29" spans="1:2" ht="30" customHeight="1" x14ac:dyDescent="0.25">
      <c r="A29" s="285"/>
    </row>
    <row r="30" spans="1:2" ht="30" customHeight="1" x14ac:dyDescent="0.25">
      <c r="A30" s="285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32077-99EB-4753-8387-3BC161904EE7}">
  <sheetPr codeName="Hoja8"/>
  <dimension ref="A5:AC14"/>
  <sheetViews>
    <sheetView showGridLines="0" workbookViewId="0"/>
  </sheetViews>
  <sheetFormatPr baseColWidth="10" defaultRowHeight="15" x14ac:dyDescent="0.25"/>
  <cols>
    <col min="1" max="1" width="34.85546875" bestFit="1" customWidth="1"/>
    <col min="2" max="9" width="8.7109375" customWidth="1"/>
    <col min="10" max="10" width="2.7109375" customWidth="1"/>
    <col min="11" max="11" width="34.85546875" bestFit="1" customWidth="1"/>
    <col min="12" max="19" width="8.7109375" customWidth="1"/>
    <col min="20" max="20" width="2.7109375" customWidth="1"/>
    <col min="21" max="21" width="34.85546875" bestFit="1" customWidth="1"/>
    <col min="22" max="29" width="8.7109375" customWidth="1"/>
  </cols>
  <sheetData>
    <row r="5" spans="1:29" x14ac:dyDescent="0.25">
      <c r="A5" s="65" t="s">
        <v>351</v>
      </c>
      <c r="B5" s="131"/>
      <c r="C5" s="131"/>
      <c r="D5" s="131"/>
      <c r="E5" s="131"/>
      <c r="F5" s="131"/>
      <c r="G5" s="131"/>
      <c r="H5" s="131"/>
      <c r="I5" s="132"/>
      <c r="K5" s="65" t="s">
        <v>352</v>
      </c>
      <c r="L5" s="131"/>
      <c r="M5" s="131"/>
      <c r="N5" s="131"/>
      <c r="O5" s="131"/>
      <c r="P5" s="131"/>
      <c r="Q5" s="132"/>
      <c r="R5" s="131"/>
      <c r="S5" s="132"/>
      <c r="U5" s="65" t="s">
        <v>353</v>
      </c>
      <c r="V5" s="131"/>
      <c r="W5" s="131"/>
      <c r="X5" s="131"/>
      <c r="Y5" s="131"/>
      <c r="Z5" s="131"/>
      <c r="AA5" s="132"/>
      <c r="AB5" s="131"/>
      <c r="AC5" s="132"/>
    </row>
    <row r="8" spans="1:29" hidden="1" x14ac:dyDescent="0.25">
      <c r="A8" s="1" t="s">
        <v>348</v>
      </c>
      <c r="B8" s="1" t="s">
        <v>346</v>
      </c>
      <c r="K8" s="1" t="s">
        <v>349</v>
      </c>
      <c r="L8" s="1" t="s">
        <v>346</v>
      </c>
      <c r="U8" s="1" t="s">
        <v>350</v>
      </c>
      <c r="V8" s="1" t="s">
        <v>346</v>
      </c>
    </row>
    <row r="9" spans="1:29" x14ac:dyDescent="0.25">
      <c r="B9" s="129">
        <v>2018</v>
      </c>
      <c r="C9" s="129"/>
      <c r="D9" s="129">
        <v>2019</v>
      </c>
      <c r="E9" s="129"/>
      <c r="F9" s="129">
        <v>2020</v>
      </c>
      <c r="G9" s="129"/>
      <c r="H9" s="129">
        <v>2021</v>
      </c>
      <c r="I9" s="129"/>
      <c r="L9" s="129">
        <v>2018</v>
      </c>
      <c r="M9" s="129"/>
      <c r="N9" s="129">
        <v>2019</v>
      </c>
      <c r="O9" s="129"/>
      <c r="P9" s="129">
        <v>2020</v>
      </c>
      <c r="Q9" s="129"/>
      <c r="R9" s="129">
        <v>2021</v>
      </c>
      <c r="S9" s="129"/>
      <c r="V9" s="129">
        <v>2018</v>
      </c>
      <c r="W9" s="129"/>
      <c r="X9" s="129">
        <v>2019</v>
      </c>
      <c r="Y9" s="129"/>
      <c r="Z9" s="129">
        <v>2020</v>
      </c>
      <c r="AA9" s="129"/>
      <c r="AB9" s="129">
        <v>2021</v>
      </c>
      <c r="AC9" s="129"/>
    </row>
    <row r="10" spans="1:29" x14ac:dyDescent="0.25">
      <c r="A10" s="133" t="s">
        <v>347</v>
      </c>
      <c r="B10" s="129">
        <v>1</v>
      </c>
      <c r="C10" s="129">
        <v>2</v>
      </c>
      <c r="D10" s="129">
        <v>1</v>
      </c>
      <c r="E10" s="129">
        <v>2</v>
      </c>
      <c r="F10" s="129">
        <v>1</v>
      </c>
      <c r="G10" s="129">
        <v>2</v>
      </c>
      <c r="H10" s="129">
        <v>1</v>
      </c>
      <c r="I10" s="129">
        <v>2</v>
      </c>
      <c r="K10" s="133" t="s">
        <v>347</v>
      </c>
      <c r="L10" s="129">
        <v>1</v>
      </c>
      <c r="M10" s="129">
        <v>2</v>
      </c>
      <c r="N10" s="129">
        <v>1</v>
      </c>
      <c r="O10" s="129">
        <v>2</v>
      </c>
      <c r="P10" s="129">
        <v>1</v>
      </c>
      <c r="Q10" s="129">
        <v>2</v>
      </c>
      <c r="R10" s="129">
        <v>1</v>
      </c>
      <c r="S10" s="129">
        <v>2</v>
      </c>
      <c r="U10" s="133" t="s">
        <v>347</v>
      </c>
      <c r="V10" s="129">
        <v>1</v>
      </c>
      <c r="W10" s="129">
        <v>2</v>
      </c>
      <c r="X10" s="129">
        <v>1</v>
      </c>
      <c r="Y10" s="129">
        <v>2</v>
      </c>
      <c r="Z10" s="129">
        <v>1</v>
      </c>
      <c r="AA10" s="129">
        <v>2</v>
      </c>
      <c r="AB10" s="129">
        <v>1</v>
      </c>
      <c r="AC10" s="129">
        <v>2</v>
      </c>
    </row>
    <row r="11" spans="1:29" x14ac:dyDescent="0.25">
      <c r="A11" s="128" t="s">
        <v>434</v>
      </c>
      <c r="B11" s="130"/>
      <c r="C11" s="130"/>
      <c r="D11" s="130">
        <v>21</v>
      </c>
      <c r="E11" s="130">
        <v>54</v>
      </c>
      <c r="F11" s="130">
        <v>91</v>
      </c>
      <c r="G11" s="130">
        <v>107</v>
      </c>
      <c r="H11" s="130">
        <v>138.5</v>
      </c>
      <c r="I11" s="130">
        <v>155.5</v>
      </c>
      <c r="K11" s="128" t="s">
        <v>434</v>
      </c>
      <c r="L11" s="130"/>
      <c r="M11" s="130"/>
      <c r="N11" s="130">
        <v>21</v>
      </c>
      <c r="O11" s="130">
        <v>34</v>
      </c>
      <c r="P11" s="130">
        <v>36</v>
      </c>
      <c r="Q11" s="130">
        <v>30</v>
      </c>
      <c r="R11" s="130">
        <v>30</v>
      </c>
      <c r="S11" s="130">
        <v>30</v>
      </c>
      <c r="U11" s="128" t="s">
        <v>434</v>
      </c>
      <c r="V11" s="130"/>
      <c r="W11" s="130"/>
      <c r="X11" s="130">
        <v>0</v>
      </c>
      <c r="Y11" s="130">
        <v>20</v>
      </c>
      <c r="Z11" s="130">
        <v>55</v>
      </c>
      <c r="AA11" s="130">
        <v>77</v>
      </c>
      <c r="AB11" s="130">
        <v>108.5</v>
      </c>
      <c r="AC11" s="130">
        <v>125.5</v>
      </c>
    </row>
    <row r="12" spans="1:29" x14ac:dyDescent="0.25">
      <c r="A12" s="128" t="s">
        <v>435</v>
      </c>
      <c r="B12" s="130">
        <v>602</v>
      </c>
      <c r="C12" s="130">
        <v>593</v>
      </c>
      <c r="D12" s="130">
        <v>607</v>
      </c>
      <c r="E12" s="130">
        <v>626</v>
      </c>
      <c r="F12" s="130">
        <v>644</v>
      </c>
      <c r="G12" s="130">
        <v>632</v>
      </c>
      <c r="H12" s="130">
        <v>633</v>
      </c>
      <c r="I12" s="130">
        <v>630</v>
      </c>
      <c r="K12" s="128" t="s">
        <v>435</v>
      </c>
      <c r="L12" s="130">
        <v>100</v>
      </c>
      <c r="M12" s="130">
        <v>61</v>
      </c>
      <c r="N12" s="130">
        <v>100</v>
      </c>
      <c r="O12" s="130">
        <v>73</v>
      </c>
      <c r="P12" s="130">
        <v>93</v>
      </c>
      <c r="Q12" s="130">
        <v>60</v>
      </c>
      <c r="R12" s="130">
        <v>80</v>
      </c>
      <c r="S12" s="130">
        <v>65</v>
      </c>
      <c r="U12" s="128" t="s">
        <v>435</v>
      </c>
      <c r="V12" s="130">
        <v>502</v>
      </c>
      <c r="W12" s="130">
        <v>532</v>
      </c>
      <c r="X12" s="130">
        <v>507</v>
      </c>
      <c r="Y12" s="130">
        <v>553</v>
      </c>
      <c r="Z12" s="130">
        <v>551</v>
      </c>
      <c r="AA12" s="130">
        <v>572</v>
      </c>
      <c r="AB12" s="130">
        <v>553</v>
      </c>
      <c r="AC12" s="130">
        <v>565</v>
      </c>
    </row>
    <row r="13" spans="1:29" x14ac:dyDescent="0.25">
      <c r="A13" s="128" t="s">
        <v>436</v>
      </c>
      <c r="B13" s="130">
        <v>960</v>
      </c>
      <c r="C13" s="130">
        <v>935</v>
      </c>
      <c r="D13" s="130">
        <v>876</v>
      </c>
      <c r="E13" s="130">
        <v>806</v>
      </c>
      <c r="F13" s="130">
        <v>840</v>
      </c>
      <c r="G13" s="130">
        <v>687</v>
      </c>
      <c r="H13" s="130">
        <v>730</v>
      </c>
      <c r="I13" s="130">
        <v>679</v>
      </c>
      <c r="K13" s="128" t="s">
        <v>436</v>
      </c>
      <c r="L13" s="130">
        <v>138</v>
      </c>
      <c r="M13" s="130">
        <v>61</v>
      </c>
      <c r="N13" s="130">
        <v>130</v>
      </c>
      <c r="O13" s="130">
        <v>64</v>
      </c>
      <c r="P13" s="130">
        <v>85</v>
      </c>
      <c r="Q13" s="130">
        <v>65</v>
      </c>
      <c r="R13" s="130">
        <v>90</v>
      </c>
      <c r="S13" s="130">
        <v>57</v>
      </c>
      <c r="U13" s="128" t="s">
        <v>436</v>
      </c>
      <c r="V13" s="130">
        <v>822</v>
      </c>
      <c r="W13" s="130">
        <v>874</v>
      </c>
      <c r="X13" s="130">
        <v>746</v>
      </c>
      <c r="Y13" s="130">
        <v>742</v>
      </c>
      <c r="Z13" s="130">
        <v>755</v>
      </c>
      <c r="AA13" s="130">
        <v>622</v>
      </c>
      <c r="AB13" s="130">
        <v>640</v>
      </c>
      <c r="AC13" s="130">
        <v>622</v>
      </c>
    </row>
    <row r="14" spans="1:29" x14ac:dyDescent="0.25">
      <c r="A14" s="128" t="s">
        <v>345</v>
      </c>
      <c r="B14" s="130">
        <v>1562</v>
      </c>
      <c r="C14" s="130">
        <v>1528</v>
      </c>
      <c r="D14" s="130">
        <v>1504</v>
      </c>
      <c r="E14" s="130">
        <v>1486</v>
      </c>
      <c r="F14" s="130">
        <v>1575</v>
      </c>
      <c r="G14" s="130">
        <v>1426</v>
      </c>
      <c r="H14" s="130">
        <v>1501.5</v>
      </c>
      <c r="I14" s="130">
        <v>1464.5</v>
      </c>
      <c r="K14" s="128" t="s">
        <v>345</v>
      </c>
      <c r="L14" s="130">
        <v>238</v>
      </c>
      <c r="M14" s="130">
        <v>122</v>
      </c>
      <c r="N14" s="130">
        <v>251</v>
      </c>
      <c r="O14" s="130">
        <v>171</v>
      </c>
      <c r="P14" s="130">
        <v>214</v>
      </c>
      <c r="Q14" s="130">
        <v>155</v>
      </c>
      <c r="R14" s="130">
        <v>200</v>
      </c>
      <c r="S14" s="130">
        <v>152</v>
      </c>
      <c r="U14" s="128" t="s">
        <v>345</v>
      </c>
      <c r="V14" s="130">
        <v>1324</v>
      </c>
      <c r="W14" s="130">
        <v>1406</v>
      </c>
      <c r="X14" s="130">
        <v>1253</v>
      </c>
      <c r="Y14" s="130">
        <v>1315</v>
      </c>
      <c r="Z14" s="130">
        <v>1361</v>
      </c>
      <c r="AA14" s="130">
        <v>1271</v>
      </c>
      <c r="AB14" s="130">
        <v>1301.5</v>
      </c>
      <c r="AC14" s="130">
        <v>1312.5</v>
      </c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EDA24-405D-44E7-9407-50127BA4047A}">
  <sheetPr codeName="Hoja9"/>
  <dimension ref="A5:AC13"/>
  <sheetViews>
    <sheetView showGridLines="0" zoomScaleNormal="100" workbookViewId="0"/>
  </sheetViews>
  <sheetFormatPr baseColWidth="10" defaultRowHeight="15" x14ac:dyDescent="0.25"/>
  <cols>
    <col min="1" max="1" width="34.85546875" customWidth="1"/>
    <col min="2" max="9" width="8.7109375" customWidth="1"/>
    <col min="10" max="10" width="2.7109375" customWidth="1"/>
    <col min="11" max="11" width="34.85546875" customWidth="1"/>
    <col min="12" max="19" width="8.7109375" customWidth="1"/>
    <col min="20" max="20" width="2.7109375" customWidth="1"/>
    <col min="21" max="21" width="34.85546875" customWidth="1"/>
    <col min="22" max="29" width="8.7109375" customWidth="1"/>
  </cols>
  <sheetData>
    <row r="5" spans="1:29" x14ac:dyDescent="0.25">
      <c r="A5" s="65" t="s">
        <v>351</v>
      </c>
      <c r="B5" s="131"/>
      <c r="C5" s="131"/>
      <c r="D5" s="131"/>
      <c r="E5" s="131"/>
      <c r="F5" s="131"/>
      <c r="G5" s="132"/>
      <c r="H5" s="131"/>
      <c r="I5" s="132"/>
      <c r="K5" s="65" t="s">
        <v>352</v>
      </c>
      <c r="L5" s="131"/>
      <c r="M5" s="131"/>
      <c r="N5" s="131"/>
      <c r="O5" s="131"/>
      <c r="P5" s="131"/>
      <c r="Q5" s="132"/>
      <c r="R5" s="131"/>
      <c r="S5" s="132"/>
      <c r="U5" s="65" t="s">
        <v>353</v>
      </c>
      <c r="V5" s="131"/>
      <c r="W5" s="131"/>
      <c r="X5" s="131"/>
      <c r="Y5" s="131"/>
      <c r="Z5" s="131"/>
      <c r="AA5" s="132"/>
      <c r="AB5" s="131"/>
      <c r="AC5" s="132"/>
    </row>
    <row r="8" spans="1:29" hidden="1" x14ac:dyDescent="0.25">
      <c r="A8" s="1" t="s">
        <v>348</v>
      </c>
      <c r="B8" s="1" t="s">
        <v>346</v>
      </c>
      <c r="K8" s="1" t="s">
        <v>349</v>
      </c>
      <c r="L8" s="1" t="s">
        <v>346</v>
      </c>
      <c r="U8" s="1" t="s">
        <v>350</v>
      </c>
      <c r="V8" s="1" t="s">
        <v>346</v>
      </c>
    </row>
    <row r="9" spans="1:29" x14ac:dyDescent="0.25">
      <c r="B9" s="129">
        <v>2018</v>
      </c>
      <c r="C9" s="129"/>
      <c r="D9" s="129">
        <v>2019</v>
      </c>
      <c r="E9" s="129"/>
      <c r="F9" s="129">
        <v>2020</v>
      </c>
      <c r="G9" s="129"/>
      <c r="H9" s="129">
        <v>2021</v>
      </c>
      <c r="I9" s="129"/>
      <c r="L9" s="129">
        <v>2018</v>
      </c>
      <c r="M9" s="129"/>
      <c r="N9" s="129">
        <v>2019</v>
      </c>
      <c r="O9" s="129"/>
      <c r="P9" s="129">
        <v>2020</v>
      </c>
      <c r="Q9" s="129"/>
      <c r="R9" s="129">
        <v>2021</v>
      </c>
      <c r="S9" s="129"/>
      <c r="V9" s="129">
        <v>2018</v>
      </c>
      <c r="W9" s="129"/>
      <c r="X9" s="129">
        <v>2019</v>
      </c>
      <c r="Y9" s="129"/>
      <c r="Z9" s="129">
        <v>2020</v>
      </c>
      <c r="AA9" s="129"/>
      <c r="AB9" s="129">
        <v>2021</v>
      </c>
      <c r="AC9" s="129"/>
    </row>
    <row r="10" spans="1:29" x14ac:dyDescent="0.25">
      <c r="A10" s="133" t="s">
        <v>347</v>
      </c>
      <c r="B10" s="129">
        <v>1</v>
      </c>
      <c r="C10" s="129">
        <v>2</v>
      </c>
      <c r="D10" s="129">
        <v>1</v>
      </c>
      <c r="E10" s="129">
        <v>2</v>
      </c>
      <c r="F10" s="129">
        <v>1</v>
      </c>
      <c r="G10" s="129">
        <v>2</v>
      </c>
      <c r="H10" s="129">
        <v>1</v>
      </c>
      <c r="I10" s="129">
        <v>2</v>
      </c>
      <c r="K10" s="133" t="s">
        <v>347</v>
      </c>
      <c r="L10" s="129">
        <v>1</v>
      </c>
      <c r="M10" s="129">
        <v>2</v>
      </c>
      <c r="N10" s="129">
        <v>1</v>
      </c>
      <c r="O10" s="129">
        <v>2</v>
      </c>
      <c r="P10" s="129">
        <v>1</v>
      </c>
      <c r="Q10" s="129">
        <v>2</v>
      </c>
      <c r="R10" s="129">
        <v>1</v>
      </c>
      <c r="S10" s="129">
        <v>2</v>
      </c>
      <c r="U10" s="133" t="s">
        <v>347</v>
      </c>
      <c r="V10" s="129">
        <v>1</v>
      </c>
      <c r="W10" s="129">
        <v>2</v>
      </c>
      <c r="X10" s="129">
        <v>1</v>
      </c>
      <c r="Y10" s="129">
        <v>2</v>
      </c>
      <c r="Z10" s="129">
        <v>1</v>
      </c>
      <c r="AA10" s="129">
        <v>2</v>
      </c>
      <c r="AB10" s="129">
        <v>1</v>
      </c>
      <c r="AC10" s="129">
        <v>2</v>
      </c>
    </row>
    <row r="11" spans="1:29" x14ac:dyDescent="0.25">
      <c r="A11" s="128" t="s">
        <v>440</v>
      </c>
      <c r="B11" s="130">
        <v>17</v>
      </c>
      <c r="C11" s="130">
        <v>17</v>
      </c>
      <c r="D11" s="130">
        <v>7</v>
      </c>
      <c r="E11" s="130">
        <v>10</v>
      </c>
      <c r="F11" s="130">
        <v>14</v>
      </c>
      <c r="G11" s="130">
        <v>8</v>
      </c>
      <c r="H11" s="130">
        <v>0</v>
      </c>
      <c r="I11" s="130">
        <v>10</v>
      </c>
      <c r="K11" s="128" t="s">
        <v>440</v>
      </c>
      <c r="L11" s="130">
        <v>8</v>
      </c>
      <c r="M11" s="130">
        <v>7</v>
      </c>
      <c r="N11" s="130">
        <v>0</v>
      </c>
      <c r="O11" s="130">
        <v>10</v>
      </c>
      <c r="P11" s="130">
        <v>4</v>
      </c>
      <c r="Q11" s="130">
        <v>4</v>
      </c>
      <c r="R11" s="130">
        <v>0</v>
      </c>
      <c r="S11" s="130">
        <v>10</v>
      </c>
      <c r="U11" s="128" t="s">
        <v>440</v>
      </c>
      <c r="V11" s="130">
        <v>9</v>
      </c>
      <c r="W11" s="130">
        <v>10</v>
      </c>
      <c r="X11" s="130">
        <v>7</v>
      </c>
      <c r="Y11" s="130">
        <v>0</v>
      </c>
      <c r="Z11" s="130">
        <v>10</v>
      </c>
      <c r="AA11" s="130">
        <v>4</v>
      </c>
      <c r="AB11" s="130">
        <v>0</v>
      </c>
      <c r="AC11" s="130">
        <v>0</v>
      </c>
    </row>
    <row r="12" spans="1:29" x14ac:dyDescent="0.25">
      <c r="A12" s="128" t="s">
        <v>441</v>
      </c>
      <c r="B12" s="130">
        <v>105</v>
      </c>
      <c r="C12" s="130">
        <v>98</v>
      </c>
      <c r="D12" s="130">
        <v>96</v>
      </c>
      <c r="E12" s="130">
        <v>111</v>
      </c>
      <c r="F12" s="130">
        <v>94</v>
      </c>
      <c r="G12" s="130">
        <v>93</v>
      </c>
      <c r="H12" s="130">
        <v>93</v>
      </c>
      <c r="I12" s="130">
        <v>91</v>
      </c>
      <c r="K12" s="128" t="s">
        <v>441</v>
      </c>
      <c r="L12" s="130">
        <v>32</v>
      </c>
      <c r="M12" s="130">
        <v>23</v>
      </c>
      <c r="N12" s="130">
        <v>24</v>
      </c>
      <c r="O12" s="130">
        <v>28</v>
      </c>
      <c r="P12" s="130">
        <v>19</v>
      </c>
      <c r="Q12" s="130">
        <v>22</v>
      </c>
      <c r="R12" s="130">
        <v>25</v>
      </c>
      <c r="S12" s="130">
        <v>25</v>
      </c>
      <c r="U12" s="128" t="s">
        <v>441</v>
      </c>
      <c r="V12" s="130">
        <v>73</v>
      </c>
      <c r="W12" s="130">
        <v>75</v>
      </c>
      <c r="X12" s="130">
        <v>72</v>
      </c>
      <c r="Y12" s="130">
        <v>83</v>
      </c>
      <c r="Z12" s="130">
        <v>75</v>
      </c>
      <c r="AA12" s="130">
        <v>71</v>
      </c>
      <c r="AB12" s="130">
        <v>68</v>
      </c>
      <c r="AC12" s="130">
        <v>66</v>
      </c>
    </row>
    <row r="13" spans="1:29" x14ac:dyDescent="0.25">
      <c r="A13" s="128" t="s">
        <v>345</v>
      </c>
      <c r="B13" s="130">
        <v>122</v>
      </c>
      <c r="C13" s="130">
        <v>115</v>
      </c>
      <c r="D13" s="130">
        <v>103</v>
      </c>
      <c r="E13" s="130">
        <v>121</v>
      </c>
      <c r="F13" s="130">
        <v>108</v>
      </c>
      <c r="G13" s="130">
        <v>101</v>
      </c>
      <c r="H13" s="130">
        <v>93</v>
      </c>
      <c r="I13" s="130">
        <v>101</v>
      </c>
      <c r="K13" s="128" t="s">
        <v>345</v>
      </c>
      <c r="L13" s="130">
        <v>40</v>
      </c>
      <c r="M13" s="130">
        <v>30</v>
      </c>
      <c r="N13" s="130">
        <v>24</v>
      </c>
      <c r="O13" s="130">
        <v>38</v>
      </c>
      <c r="P13" s="130">
        <v>23</v>
      </c>
      <c r="Q13" s="130">
        <v>26</v>
      </c>
      <c r="R13" s="130">
        <v>25</v>
      </c>
      <c r="S13" s="130">
        <v>35</v>
      </c>
      <c r="U13" s="128" t="s">
        <v>345</v>
      </c>
      <c r="V13" s="130">
        <v>82</v>
      </c>
      <c r="W13" s="130">
        <v>85</v>
      </c>
      <c r="X13" s="130">
        <v>79</v>
      </c>
      <c r="Y13" s="130">
        <v>83</v>
      </c>
      <c r="Z13" s="130">
        <v>85</v>
      </c>
      <c r="AA13" s="130">
        <v>75</v>
      </c>
      <c r="AB13" s="130">
        <v>68</v>
      </c>
      <c r="AC13" s="130">
        <v>66</v>
      </c>
    </row>
  </sheetData>
  <pageMargins left="0.7" right="0.7" top="0.75" bottom="0.75" header="0.3" footer="0.3"/>
  <pageSetup paperSize="9" orientation="portrait" horizontalDpi="1200" verticalDpi="1200" r:id="rId4"/>
  <drawing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164D2-0FD2-4007-A133-6AF3B17031BE}">
  <sheetPr codeName="Hoja10"/>
  <dimension ref="A1:D111"/>
  <sheetViews>
    <sheetView workbookViewId="0"/>
  </sheetViews>
  <sheetFormatPr baseColWidth="10" defaultRowHeight="15" x14ac:dyDescent="0.25"/>
  <cols>
    <col min="1" max="1" width="25.5703125" bestFit="1" customWidth="1"/>
    <col min="2" max="2" width="22" customWidth="1"/>
    <col min="3" max="3" width="20.28515625" customWidth="1"/>
    <col min="4" max="4" width="21.85546875" bestFit="1" customWidth="1"/>
  </cols>
  <sheetData>
    <row r="1" spans="1:4" x14ac:dyDescent="0.25">
      <c r="A1" t="s">
        <v>220</v>
      </c>
      <c r="B1" t="s">
        <v>221</v>
      </c>
      <c r="C1" t="s">
        <v>222</v>
      </c>
      <c r="D1" t="s">
        <v>223</v>
      </c>
    </row>
    <row r="2" spans="1:4" x14ac:dyDescent="0.25">
      <c r="A2" t="str">
        <f>tipo_departamento[[#This Row],[departamento_padre]]&amp;"-"&amp;tipo_departamento[[#This Row],[tipo_departamento]]</f>
        <v>10-DEPARTAMENTOS</v>
      </c>
      <c r="B2" t="s">
        <v>224</v>
      </c>
      <c r="C2" t="s">
        <v>5</v>
      </c>
      <c r="D2" t="s">
        <v>216</v>
      </c>
    </row>
    <row r="3" spans="1:4" x14ac:dyDescent="0.25">
      <c r="A3" t="str">
        <f>tipo_departamento[[#This Row],[departamento_padre]]&amp;"-"&amp;tipo_departamento[[#This Row],[tipo_departamento]]</f>
        <v>10-PREGRADO</v>
      </c>
      <c r="B3" t="s">
        <v>224</v>
      </c>
      <c r="C3" t="s">
        <v>9</v>
      </c>
      <c r="D3" t="s">
        <v>119</v>
      </c>
    </row>
    <row r="4" spans="1:4" x14ac:dyDescent="0.25">
      <c r="A4" t="str">
        <f>tipo_departamento[[#This Row],[departamento_padre]]&amp;"-"&amp;tipo_departamento[[#This Row],[tipo_departamento]]</f>
        <v>10-POSTGRADO</v>
      </c>
      <c r="B4" t="s">
        <v>224</v>
      </c>
      <c r="C4" t="s">
        <v>35</v>
      </c>
      <c r="D4" t="s">
        <v>118</v>
      </c>
    </row>
    <row r="5" spans="1:4" x14ac:dyDescent="0.25">
      <c r="A5" t="str">
        <f>tipo_departamento[[#This Row],[departamento_padre]]&amp;"-"&amp;tipo_departamento[[#This Row],[tipo_departamento]]</f>
        <v>10-EDUCACION CONTINUA</v>
      </c>
      <c r="B5" t="s">
        <v>224</v>
      </c>
      <c r="C5" t="s">
        <v>90</v>
      </c>
      <c r="D5" t="s">
        <v>105</v>
      </c>
    </row>
    <row r="6" spans="1:4" x14ac:dyDescent="0.25">
      <c r="A6" t="str">
        <f>tipo_departamento[[#This Row],[departamento_padre]]&amp;"-"&amp;tipo_departamento[[#This Row],[tipo_departamento]]</f>
        <v>10-PROY ESPECIALES</v>
      </c>
      <c r="B6" t="s">
        <v>224</v>
      </c>
      <c r="C6" t="s">
        <v>51</v>
      </c>
      <c r="D6" t="s">
        <v>215</v>
      </c>
    </row>
    <row r="7" spans="1:4" x14ac:dyDescent="0.25">
      <c r="A7" t="str">
        <f>tipo_departamento[[#This Row],[departamento_padre]]&amp;"-"&amp;tipo_departamento[[#This Row],[tipo_departamento]]</f>
        <v>10-ADMINISTRACION</v>
      </c>
      <c r="B7" t="s">
        <v>224</v>
      </c>
      <c r="C7" t="s">
        <v>66</v>
      </c>
      <c r="D7" t="s">
        <v>217</v>
      </c>
    </row>
    <row r="8" spans="1:4" x14ac:dyDescent="0.25">
      <c r="A8" t="str">
        <f>tipo_departamento[[#This Row],[departamento_padre]]&amp;"-"&amp;tipo_departamento[[#This Row],[tipo_departamento]]</f>
        <v>10-VACACIONALES</v>
      </c>
      <c r="B8" s="6" t="s">
        <v>224</v>
      </c>
      <c r="C8" s="6" t="s">
        <v>240</v>
      </c>
      <c r="D8" t="s">
        <v>165</v>
      </c>
    </row>
    <row r="9" spans="1:4" x14ac:dyDescent="0.25">
      <c r="A9" t="str">
        <f>tipo_departamento[[#This Row],[departamento_padre]]&amp;"-"&amp;tipo_departamento[[#This Row],[tipo_departamento]]</f>
        <v>12-PREGRADO</v>
      </c>
      <c r="B9" t="s">
        <v>225</v>
      </c>
      <c r="C9" t="s">
        <v>10</v>
      </c>
      <c r="D9" t="s">
        <v>119</v>
      </c>
    </row>
    <row r="10" spans="1:4" x14ac:dyDescent="0.25">
      <c r="A10" t="str">
        <f>tipo_departamento[[#This Row],[departamento_padre]]&amp;"-"&amp;tipo_departamento[[#This Row],[tipo_departamento]]</f>
        <v>12-DEPARTAMENTOS</v>
      </c>
      <c r="B10" t="s">
        <v>225</v>
      </c>
      <c r="C10" t="s">
        <v>14</v>
      </c>
      <c r="D10" t="s">
        <v>216</v>
      </c>
    </row>
    <row r="11" spans="1:4" x14ac:dyDescent="0.25">
      <c r="A11" t="str">
        <f>tipo_departamento[[#This Row],[departamento_padre]]&amp;"-"&amp;tipo_departamento[[#This Row],[tipo_departamento]]</f>
        <v>12-POSTGRADO</v>
      </c>
      <c r="B11" t="s">
        <v>225</v>
      </c>
      <c r="C11" t="s">
        <v>30</v>
      </c>
      <c r="D11" t="s">
        <v>118</v>
      </c>
    </row>
    <row r="12" spans="1:4" x14ac:dyDescent="0.25">
      <c r="A12" t="str">
        <f>tipo_departamento[[#This Row],[departamento_padre]]&amp;"-"&amp;tipo_departamento[[#This Row],[tipo_departamento]]</f>
        <v>12-PROY ESPECIALES</v>
      </c>
      <c r="B12" t="s">
        <v>225</v>
      </c>
      <c r="C12" t="s">
        <v>52</v>
      </c>
      <c r="D12" t="s">
        <v>215</v>
      </c>
    </row>
    <row r="13" spans="1:4" x14ac:dyDescent="0.25">
      <c r="A13" t="str">
        <f>tipo_departamento[[#This Row],[departamento_padre]]&amp;"-"&amp;tipo_departamento[[#This Row],[tipo_departamento]]</f>
        <v>12-ADMINISTRACION</v>
      </c>
      <c r="B13" t="s">
        <v>225</v>
      </c>
      <c r="C13" t="s">
        <v>67</v>
      </c>
      <c r="D13" t="s">
        <v>217</v>
      </c>
    </row>
    <row r="14" spans="1:4" x14ac:dyDescent="0.25">
      <c r="A14" t="str">
        <f>tipo_departamento[[#This Row],[departamento_padre]]&amp;"-"&amp;tipo_departamento[[#This Row],[tipo_departamento]]</f>
        <v>12-EDUCACION CONTINUA</v>
      </c>
      <c r="B14" t="s">
        <v>225</v>
      </c>
      <c r="C14" t="s">
        <v>99</v>
      </c>
      <c r="D14" t="s">
        <v>105</v>
      </c>
    </row>
    <row r="15" spans="1:4" x14ac:dyDescent="0.25">
      <c r="A15" t="str">
        <f>tipo_departamento[[#This Row],[departamento_padre]]&amp;"-"&amp;tipo_departamento[[#This Row],[tipo_departamento]]</f>
        <v>16-PREGRADO</v>
      </c>
      <c r="B15" t="s">
        <v>226</v>
      </c>
      <c r="C15" t="s">
        <v>11</v>
      </c>
      <c r="D15" t="s">
        <v>119</v>
      </c>
    </row>
    <row r="16" spans="1:4" x14ac:dyDescent="0.25">
      <c r="A16" t="str">
        <f>tipo_departamento[[#This Row],[departamento_padre]]&amp;"-"&amp;tipo_departamento[[#This Row],[tipo_departamento]]</f>
        <v>16-DEPARTAMENTOS</v>
      </c>
      <c r="B16" t="s">
        <v>226</v>
      </c>
      <c r="C16" t="s">
        <v>15</v>
      </c>
      <c r="D16" t="s">
        <v>216</v>
      </c>
    </row>
    <row r="17" spans="1:4" x14ac:dyDescent="0.25">
      <c r="A17" t="str">
        <f>tipo_departamento[[#This Row],[departamento_padre]]&amp;"-"&amp;tipo_departamento[[#This Row],[tipo_departamento]]</f>
        <v>16-EDUCACION CONTINUA</v>
      </c>
      <c r="B17" t="s">
        <v>226</v>
      </c>
      <c r="C17" t="s">
        <v>41</v>
      </c>
      <c r="D17" t="s">
        <v>105</v>
      </c>
    </row>
    <row r="18" spans="1:4" x14ac:dyDescent="0.25">
      <c r="A18" t="str">
        <f>tipo_departamento[[#This Row],[departamento_padre]]&amp;"-"&amp;tipo_departamento[[#This Row],[tipo_departamento]]</f>
        <v>16-POSTGRADO</v>
      </c>
      <c r="B18" t="s">
        <v>226</v>
      </c>
      <c r="C18" t="s">
        <v>49</v>
      </c>
      <c r="D18" t="s">
        <v>118</v>
      </c>
    </row>
    <row r="19" spans="1:4" x14ac:dyDescent="0.25">
      <c r="A19" t="str">
        <f>tipo_departamento[[#This Row],[departamento_padre]]&amp;"-"&amp;tipo_departamento[[#This Row],[tipo_departamento]]</f>
        <v>16-PROY ESPECIALES</v>
      </c>
      <c r="B19" t="s">
        <v>226</v>
      </c>
      <c r="C19" t="s">
        <v>53</v>
      </c>
      <c r="D19" t="s">
        <v>215</v>
      </c>
    </row>
    <row r="20" spans="1:4" x14ac:dyDescent="0.25">
      <c r="A20" t="str">
        <f>tipo_departamento[[#This Row],[departamento_padre]]&amp;"-"&amp;tipo_departamento[[#This Row],[tipo_departamento]]</f>
        <v>16-ADMINISTRACION</v>
      </c>
      <c r="B20" t="s">
        <v>226</v>
      </c>
      <c r="C20" t="s">
        <v>68</v>
      </c>
      <c r="D20" t="s">
        <v>217</v>
      </c>
    </row>
    <row r="21" spans="1:4" x14ac:dyDescent="0.25">
      <c r="A21" t="str">
        <f>tipo_departamento[[#This Row],[departamento_padre]]&amp;"-"&amp;tipo_departamento[[#This Row],[tipo_departamento]]</f>
        <v>16-VACACIONALES</v>
      </c>
      <c r="B21" s="6" t="s">
        <v>226</v>
      </c>
      <c r="C21" s="6" t="s">
        <v>243</v>
      </c>
      <c r="D21" t="s">
        <v>165</v>
      </c>
    </row>
    <row r="22" spans="1:4" x14ac:dyDescent="0.25">
      <c r="A22" t="str">
        <f>tipo_departamento[[#This Row],[departamento_padre]]&amp;"-"&amp;tipo_departamento[[#This Row],[tipo_departamento]]</f>
        <v>18-PREGRADO</v>
      </c>
      <c r="B22" t="s">
        <v>227</v>
      </c>
      <c r="C22" t="s">
        <v>12</v>
      </c>
      <c r="D22" t="s">
        <v>119</v>
      </c>
    </row>
    <row r="23" spans="1:4" x14ac:dyDescent="0.25">
      <c r="A23" t="str">
        <f>tipo_departamento[[#This Row],[departamento_padre]]&amp;"-"&amp;tipo_departamento[[#This Row],[tipo_departamento]]</f>
        <v>18-DEPARTAMENTOS</v>
      </c>
      <c r="B23" t="s">
        <v>227</v>
      </c>
      <c r="C23" t="s">
        <v>18</v>
      </c>
      <c r="D23" t="s">
        <v>216</v>
      </c>
    </row>
    <row r="24" spans="1:4" x14ac:dyDescent="0.25">
      <c r="A24" t="str">
        <f>tipo_departamento[[#This Row],[departamento_padre]]&amp;"-"&amp;tipo_departamento[[#This Row],[tipo_departamento]]</f>
        <v>18-EDUCACION CONTINUA</v>
      </c>
      <c r="B24" t="s">
        <v>227</v>
      </c>
      <c r="C24" t="s">
        <v>27</v>
      </c>
      <c r="D24" t="s">
        <v>105</v>
      </c>
    </row>
    <row r="25" spans="1:4" x14ac:dyDescent="0.25">
      <c r="A25" t="str">
        <f>tipo_departamento[[#This Row],[departamento_padre]]&amp;"-"&amp;tipo_departamento[[#This Row],[tipo_departamento]]</f>
        <v>18-POSTGRADO</v>
      </c>
      <c r="B25" t="s">
        <v>227</v>
      </c>
      <c r="C25" t="s">
        <v>31</v>
      </c>
      <c r="D25" t="s">
        <v>118</v>
      </c>
    </row>
    <row r="26" spans="1:4" x14ac:dyDescent="0.25">
      <c r="A26" t="str">
        <f>tipo_departamento[[#This Row],[departamento_padre]]&amp;"-"&amp;tipo_departamento[[#This Row],[tipo_departamento]]</f>
        <v>18-PROY ESPECIALES</v>
      </c>
      <c r="B26" t="s">
        <v>227</v>
      </c>
      <c r="C26" t="s">
        <v>54</v>
      </c>
      <c r="D26" t="s">
        <v>215</v>
      </c>
    </row>
    <row r="27" spans="1:4" x14ac:dyDescent="0.25">
      <c r="A27" t="str">
        <f>tipo_departamento[[#This Row],[departamento_padre]]&amp;"-"&amp;tipo_departamento[[#This Row],[tipo_departamento]]</f>
        <v>18-ADMINISTRACION</v>
      </c>
      <c r="B27" t="s">
        <v>227</v>
      </c>
      <c r="C27" t="s">
        <v>69</v>
      </c>
      <c r="D27" t="s">
        <v>217</v>
      </c>
    </row>
    <row r="28" spans="1:4" x14ac:dyDescent="0.25">
      <c r="A28" t="str">
        <f>tipo_departamento[[#This Row],[departamento_padre]]&amp;"-"&amp;tipo_departamento[[#This Row],[tipo_departamento]]</f>
        <v>18-VACACIONALES</v>
      </c>
      <c r="B28" t="s">
        <v>227</v>
      </c>
      <c r="C28" s="6" t="s">
        <v>244</v>
      </c>
      <c r="D28" t="s">
        <v>165</v>
      </c>
    </row>
    <row r="29" spans="1:4" x14ac:dyDescent="0.25">
      <c r="A29" t="str">
        <f>tipo_departamento[[#This Row],[departamento_padre]]&amp;"-"&amp;tipo_departamento[[#This Row],[tipo_departamento]]</f>
        <v>22-PREGRADO</v>
      </c>
      <c r="B29" t="s">
        <v>228</v>
      </c>
      <c r="C29" t="s">
        <v>13</v>
      </c>
      <c r="D29" t="s">
        <v>119</v>
      </c>
    </row>
    <row r="30" spans="1:4" x14ac:dyDescent="0.25">
      <c r="A30" t="str">
        <f>tipo_departamento[[#This Row],[departamento_padre]]&amp;"-"&amp;tipo_departamento[[#This Row],[tipo_departamento]]</f>
        <v>22-DEPARTAMENTOS</v>
      </c>
      <c r="B30" t="s">
        <v>228</v>
      </c>
      <c r="C30" t="s">
        <v>19</v>
      </c>
      <c r="D30" t="s">
        <v>216</v>
      </c>
    </row>
    <row r="31" spans="1:4" x14ac:dyDescent="0.25">
      <c r="A31" t="str">
        <f>tipo_departamento[[#This Row],[departamento_padre]]&amp;"-"&amp;tipo_departamento[[#This Row],[tipo_departamento]]</f>
        <v>22-EDUCACION CONTINUA</v>
      </c>
      <c r="B31" t="s">
        <v>228</v>
      </c>
      <c r="C31" t="s">
        <v>93</v>
      </c>
      <c r="D31" t="s">
        <v>105</v>
      </c>
    </row>
    <row r="32" spans="1:4" x14ac:dyDescent="0.25">
      <c r="A32" t="str">
        <f>tipo_departamento[[#This Row],[departamento_padre]]&amp;"-"&amp;tipo_departamento[[#This Row],[tipo_departamento]]</f>
        <v>22-PROY ESPECIALES</v>
      </c>
      <c r="B32" t="s">
        <v>228</v>
      </c>
      <c r="C32" t="s">
        <v>55</v>
      </c>
      <c r="D32" t="s">
        <v>215</v>
      </c>
    </row>
    <row r="33" spans="1:4" x14ac:dyDescent="0.25">
      <c r="A33" t="str">
        <f>tipo_departamento[[#This Row],[departamento_padre]]&amp;"-"&amp;tipo_departamento[[#This Row],[tipo_departamento]]</f>
        <v>22-POSTGRADO</v>
      </c>
      <c r="B33" t="s">
        <v>228</v>
      </c>
      <c r="C33" t="s">
        <v>63</v>
      </c>
      <c r="D33" t="s">
        <v>118</v>
      </c>
    </row>
    <row r="34" spans="1:4" x14ac:dyDescent="0.25">
      <c r="A34" t="str">
        <f>tipo_departamento[[#This Row],[departamento_padre]]&amp;"-"&amp;tipo_departamento[[#This Row],[tipo_departamento]]</f>
        <v>22-ADMINISTRACION</v>
      </c>
      <c r="B34" t="s">
        <v>228</v>
      </c>
      <c r="C34" t="s">
        <v>70</v>
      </c>
      <c r="D34" t="s">
        <v>217</v>
      </c>
    </row>
    <row r="35" spans="1:4" x14ac:dyDescent="0.25">
      <c r="A35" t="str">
        <f>tipo_departamento[[#This Row],[departamento_padre]]&amp;"-"&amp;tipo_departamento[[#This Row],[tipo_departamento]]</f>
        <v>22-VACACIONALES</v>
      </c>
      <c r="B35" t="s">
        <v>228</v>
      </c>
      <c r="C35" s="6" t="s">
        <v>245</v>
      </c>
      <c r="D35" t="s">
        <v>165</v>
      </c>
    </row>
    <row r="36" spans="1:4" x14ac:dyDescent="0.25">
      <c r="A36" t="str">
        <f>tipo_departamento[[#This Row],[departamento_padre]]&amp;"-"&amp;tipo_departamento[[#This Row],[tipo_departamento]]</f>
        <v>238-POSTGRADO</v>
      </c>
      <c r="B36" t="s">
        <v>229</v>
      </c>
      <c r="C36" t="s">
        <v>8</v>
      </c>
      <c r="D36" t="s">
        <v>118</v>
      </c>
    </row>
    <row r="37" spans="1:4" x14ac:dyDescent="0.25">
      <c r="A37" t="str">
        <f>tipo_departamento[[#This Row],[departamento_padre]]&amp;"-"&amp;tipo_departamento[[#This Row],[tipo_departamento]]</f>
        <v>238-EDUCACION CONTINUA</v>
      </c>
      <c r="B37" t="s">
        <v>229</v>
      </c>
      <c r="C37" t="s">
        <v>24</v>
      </c>
      <c r="D37" t="s">
        <v>105</v>
      </c>
    </row>
    <row r="38" spans="1:4" x14ac:dyDescent="0.25">
      <c r="A38" t="str">
        <f>tipo_departamento[[#This Row],[departamento_padre]]&amp;"-"&amp;tipo_departamento[[#This Row],[tipo_departamento]]</f>
        <v>238-EDUCACION CONTINUA</v>
      </c>
      <c r="B38" t="s">
        <v>229</v>
      </c>
      <c r="C38" t="s">
        <v>25</v>
      </c>
      <c r="D38" t="s">
        <v>105</v>
      </c>
    </row>
    <row r="39" spans="1:4" x14ac:dyDescent="0.25">
      <c r="A39" t="str">
        <f>tipo_departamento[[#This Row],[departamento_padre]]&amp;"-"&amp;tipo_departamento[[#This Row],[tipo_departamento]]</f>
        <v>238-EDUCACION CONTINUA</v>
      </c>
      <c r="B39" t="s">
        <v>229</v>
      </c>
      <c r="C39" t="s">
        <v>26</v>
      </c>
      <c r="D39" t="s">
        <v>105</v>
      </c>
    </row>
    <row r="40" spans="1:4" x14ac:dyDescent="0.25">
      <c r="A40" t="str">
        <f>tipo_departamento[[#This Row],[departamento_padre]]&amp;"-"&amp;tipo_departamento[[#This Row],[tipo_departamento]]</f>
        <v>238-EDUCACION CONTINUA</v>
      </c>
      <c r="B40" t="s">
        <v>229</v>
      </c>
      <c r="C40" t="s">
        <v>28</v>
      </c>
      <c r="D40" t="s">
        <v>105</v>
      </c>
    </row>
    <row r="41" spans="1:4" x14ac:dyDescent="0.25">
      <c r="A41" t="str">
        <f>tipo_departamento[[#This Row],[departamento_padre]]&amp;"-"&amp;tipo_departamento[[#This Row],[tipo_departamento]]</f>
        <v>238-EDUCACION CONTINUA</v>
      </c>
      <c r="B41" t="s">
        <v>229</v>
      </c>
      <c r="C41" t="s">
        <v>29</v>
      </c>
      <c r="D41" t="s">
        <v>105</v>
      </c>
    </row>
    <row r="42" spans="1:4" x14ac:dyDescent="0.25">
      <c r="A42" t="str">
        <f>tipo_departamento[[#This Row],[departamento_padre]]&amp;"-"&amp;tipo_departamento[[#This Row],[tipo_departamento]]</f>
        <v>24-PREGRADO</v>
      </c>
      <c r="B42" t="s">
        <v>200</v>
      </c>
      <c r="C42" t="s">
        <v>16</v>
      </c>
      <c r="D42" t="s">
        <v>119</v>
      </c>
    </row>
    <row r="43" spans="1:4" x14ac:dyDescent="0.25">
      <c r="A43" t="str">
        <f>tipo_departamento[[#This Row],[departamento_padre]]&amp;"-"&amp;tipo_departamento[[#This Row],[tipo_departamento]]</f>
        <v>24-DEPARTAMENTOS</v>
      </c>
      <c r="B43" t="s">
        <v>200</v>
      </c>
      <c r="C43" t="s">
        <v>20</v>
      </c>
      <c r="D43" t="s">
        <v>216</v>
      </c>
    </row>
    <row r="44" spans="1:4" x14ac:dyDescent="0.25">
      <c r="A44" t="str">
        <f>tipo_departamento[[#This Row],[departamento_padre]]&amp;"-"&amp;tipo_departamento[[#This Row],[tipo_departamento]]</f>
        <v>24-EDUCACION CONTINUA</v>
      </c>
      <c r="B44" t="s">
        <v>200</v>
      </c>
      <c r="C44" t="s">
        <v>89</v>
      </c>
      <c r="D44" t="s">
        <v>105</v>
      </c>
    </row>
    <row r="45" spans="1:4" x14ac:dyDescent="0.25">
      <c r="A45" t="str">
        <f>tipo_departamento[[#This Row],[departamento_padre]]&amp;"-"&amp;tipo_departamento[[#This Row],[tipo_departamento]]</f>
        <v>24-PROY ESPECIALES</v>
      </c>
      <c r="B45" t="s">
        <v>200</v>
      </c>
      <c r="C45" t="s">
        <v>56</v>
      </c>
      <c r="D45" t="s">
        <v>215</v>
      </c>
    </row>
    <row r="46" spans="1:4" x14ac:dyDescent="0.25">
      <c r="A46" t="str">
        <f>tipo_departamento[[#This Row],[departamento_padre]]&amp;"-"&amp;tipo_departamento[[#This Row],[tipo_departamento]]</f>
        <v>24-POSTGRADO</v>
      </c>
      <c r="B46" t="s">
        <v>200</v>
      </c>
      <c r="C46" t="s">
        <v>62</v>
      </c>
      <c r="D46" t="s">
        <v>118</v>
      </c>
    </row>
    <row r="47" spans="1:4" x14ac:dyDescent="0.25">
      <c r="A47" t="str">
        <f>tipo_departamento[[#This Row],[departamento_padre]]&amp;"-"&amp;tipo_departamento[[#This Row],[tipo_departamento]]</f>
        <v>24-ADMINISTRACION</v>
      </c>
      <c r="B47" t="s">
        <v>200</v>
      </c>
      <c r="C47" t="s">
        <v>71</v>
      </c>
      <c r="D47" t="s">
        <v>217</v>
      </c>
    </row>
    <row r="48" spans="1:4" x14ac:dyDescent="0.25">
      <c r="A48" t="str">
        <f>tipo_departamento[[#This Row],[departamento_padre]]&amp;"-"&amp;tipo_departamento[[#This Row],[tipo_departamento]]</f>
        <v>24-VACACIONALES</v>
      </c>
      <c r="B48" t="s">
        <v>200</v>
      </c>
      <c r="C48" s="6" t="s">
        <v>246</v>
      </c>
      <c r="D48" t="s">
        <v>165</v>
      </c>
    </row>
    <row r="49" spans="1:4" x14ac:dyDescent="0.25">
      <c r="A49" t="str">
        <f>tipo_departamento[[#This Row],[departamento_padre]]&amp;"-"&amp;tipo_departamento[[#This Row],[tipo_departamento]]</f>
        <v>28-DEPARTAMENTOS</v>
      </c>
      <c r="B49" t="s">
        <v>230</v>
      </c>
      <c r="C49" t="s">
        <v>23</v>
      </c>
      <c r="D49" t="s">
        <v>216</v>
      </c>
    </row>
    <row r="50" spans="1:4" x14ac:dyDescent="0.25">
      <c r="A50" t="str">
        <f>tipo_departamento[[#This Row],[departamento_padre]]&amp;"-"&amp;tipo_departamento[[#This Row],[tipo_departamento]]</f>
        <v>28-PROY ESPECIALES</v>
      </c>
      <c r="B50" t="s">
        <v>230</v>
      </c>
      <c r="C50" t="s">
        <v>36</v>
      </c>
      <c r="D50" t="s">
        <v>215</v>
      </c>
    </row>
    <row r="51" spans="1:4" x14ac:dyDescent="0.25">
      <c r="A51" t="str">
        <f>tipo_departamento[[#This Row],[departamento_padre]]&amp;"-"&amp;tipo_departamento[[#This Row],[tipo_departamento]]</f>
        <v>28-EDUCACION CONTINUA</v>
      </c>
      <c r="B51" t="s">
        <v>230</v>
      </c>
      <c r="C51" t="s">
        <v>43</v>
      </c>
      <c r="D51" t="s">
        <v>105</v>
      </c>
    </row>
    <row r="52" spans="1:4" x14ac:dyDescent="0.25">
      <c r="A52" t="str">
        <f>tipo_departamento[[#This Row],[departamento_padre]]&amp;"-"&amp;tipo_departamento[[#This Row],[tipo_departamento]]</f>
        <v>28-EDUCACION CONTINUA</v>
      </c>
      <c r="B52" t="s">
        <v>230</v>
      </c>
      <c r="C52" t="s">
        <v>45</v>
      </c>
      <c r="D52" t="s">
        <v>105</v>
      </c>
    </row>
    <row r="53" spans="1:4" x14ac:dyDescent="0.25">
      <c r="A53" t="str">
        <f>tipo_departamento[[#This Row],[departamento_padre]]&amp;"-"&amp;tipo_departamento[[#This Row],[tipo_departamento]]</f>
        <v>28-EDUCACION CONTINUA</v>
      </c>
      <c r="B53" t="s">
        <v>230</v>
      </c>
      <c r="C53" t="s">
        <v>47</v>
      </c>
      <c r="D53" t="s">
        <v>105</v>
      </c>
    </row>
    <row r="54" spans="1:4" x14ac:dyDescent="0.25">
      <c r="A54" t="str">
        <f>tipo_departamento[[#This Row],[departamento_padre]]&amp;"-"&amp;tipo_departamento[[#This Row],[tipo_departamento]]</f>
        <v>28-ADMINISTRACION</v>
      </c>
      <c r="B54" t="s">
        <v>230</v>
      </c>
      <c r="C54" t="s">
        <v>78</v>
      </c>
      <c r="D54" t="s">
        <v>217</v>
      </c>
    </row>
    <row r="55" spans="1:4" x14ac:dyDescent="0.25">
      <c r="A55" t="str">
        <f>tipo_departamento[[#This Row],[departamento_padre]]&amp;"-"&amp;tipo_departamento[[#This Row],[tipo_departamento]]</f>
        <v>28-POSTGRADO</v>
      </c>
      <c r="B55" t="s">
        <v>230</v>
      </c>
      <c r="C55" t="s">
        <v>91</v>
      </c>
      <c r="D55" t="s">
        <v>118</v>
      </c>
    </row>
    <row r="56" spans="1:4" x14ac:dyDescent="0.25">
      <c r="A56" t="str">
        <f>tipo_departamento[[#This Row],[departamento_padre]]&amp;"-"&amp;tipo_departamento[[#This Row],[tipo_departamento]]</f>
        <v>281-DEPARTAMENTOS</v>
      </c>
      <c r="B56" t="s">
        <v>231</v>
      </c>
      <c r="C56" t="s">
        <v>32</v>
      </c>
      <c r="D56" t="s">
        <v>216</v>
      </c>
    </row>
    <row r="57" spans="1:4" x14ac:dyDescent="0.25">
      <c r="A57" t="str">
        <f>tipo_departamento[[#This Row],[departamento_padre]]&amp;"-"&amp;tipo_departamento[[#This Row],[tipo_departamento]]</f>
        <v>281-DEPARTAMENTOS</v>
      </c>
      <c r="B57" t="s">
        <v>231</v>
      </c>
      <c r="C57" t="s">
        <v>34</v>
      </c>
      <c r="D57" t="s">
        <v>216</v>
      </c>
    </row>
    <row r="58" spans="1:4" x14ac:dyDescent="0.25">
      <c r="A58" t="str">
        <f>tipo_departamento[[#This Row],[departamento_padre]]&amp;"-"&amp;tipo_departamento[[#This Row],[tipo_departamento]]</f>
        <v>281-POSTGRADO</v>
      </c>
      <c r="B58" t="s">
        <v>231</v>
      </c>
      <c r="C58" t="s">
        <v>44</v>
      </c>
      <c r="D58" t="s">
        <v>118</v>
      </c>
    </row>
    <row r="59" spans="1:4" x14ac:dyDescent="0.25">
      <c r="A59" t="str">
        <f>tipo_departamento[[#This Row],[departamento_padre]]&amp;"-"&amp;tipo_departamento[[#This Row],[tipo_departamento]]</f>
        <v>281-PROY ESPECIALES</v>
      </c>
      <c r="B59" t="s">
        <v>231</v>
      </c>
      <c r="C59" t="s">
        <v>59</v>
      </c>
      <c r="D59" t="s">
        <v>215</v>
      </c>
    </row>
    <row r="60" spans="1:4" x14ac:dyDescent="0.25">
      <c r="A60" t="str">
        <f>tipo_departamento[[#This Row],[departamento_padre]]&amp;"-"&amp;tipo_departamento[[#This Row],[tipo_departamento]]</f>
        <v>281-ADMINISTRACION</v>
      </c>
      <c r="B60" t="s">
        <v>231</v>
      </c>
      <c r="C60" t="s">
        <v>73</v>
      </c>
      <c r="D60" t="s">
        <v>217</v>
      </c>
    </row>
    <row r="61" spans="1:4" x14ac:dyDescent="0.25">
      <c r="A61" t="str">
        <f>tipo_departamento[[#This Row],[departamento_padre]]&amp;"-"&amp;tipo_departamento[[#This Row],[tipo_departamento]]</f>
        <v>281-EDUCACION CONTINUA</v>
      </c>
      <c r="B61" t="s">
        <v>231</v>
      </c>
      <c r="C61" t="s">
        <v>98</v>
      </c>
      <c r="D61" t="s">
        <v>105</v>
      </c>
    </row>
    <row r="62" spans="1:4" x14ac:dyDescent="0.25">
      <c r="A62" t="str">
        <f>tipo_departamento[[#This Row],[departamento_padre]]&amp;"-"&amp;tipo_departamento[[#This Row],[tipo_departamento]]</f>
        <v>281-VACACIONALES</v>
      </c>
      <c r="B62" t="s">
        <v>231</v>
      </c>
      <c r="C62" s="6" t="s">
        <v>247</v>
      </c>
      <c r="D62" t="s">
        <v>165</v>
      </c>
    </row>
    <row r="63" spans="1:4" x14ac:dyDescent="0.25">
      <c r="A63" t="str">
        <f>tipo_departamento[[#This Row],[departamento_padre]]&amp;"-"&amp;tipo_departamento[[#This Row],[tipo_departamento]]</f>
        <v>282-PREGRADO</v>
      </c>
      <c r="B63" t="s">
        <v>232</v>
      </c>
      <c r="C63" t="s">
        <v>17</v>
      </c>
      <c r="D63" t="s">
        <v>119</v>
      </c>
    </row>
    <row r="64" spans="1:4" x14ac:dyDescent="0.25">
      <c r="A64" t="str">
        <f>tipo_departamento[[#This Row],[departamento_padre]]&amp;"-"&amp;tipo_departamento[[#This Row],[tipo_departamento]]</f>
        <v>282-DEPARTAMENTOS</v>
      </c>
      <c r="B64" t="s">
        <v>232</v>
      </c>
      <c r="C64" t="s">
        <v>21</v>
      </c>
      <c r="D64" t="s">
        <v>216</v>
      </c>
    </row>
    <row r="65" spans="1:4" x14ac:dyDescent="0.25">
      <c r="A65" t="str">
        <f>tipo_departamento[[#This Row],[departamento_padre]]&amp;"-"&amp;tipo_departamento[[#This Row],[tipo_departamento]]</f>
        <v>282-EDUCACION CONTINUA</v>
      </c>
      <c r="B65" t="s">
        <v>232</v>
      </c>
      <c r="C65" t="s">
        <v>60</v>
      </c>
      <c r="D65" t="s">
        <v>105</v>
      </c>
    </row>
    <row r="66" spans="1:4" x14ac:dyDescent="0.25">
      <c r="A66" t="str">
        <f>tipo_departamento[[#This Row],[departamento_padre]]&amp;"-"&amp;tipo_departamento[[#This Row],[tipo_departamento]]</f>
        <v>282-POSTGRADO</v>
      </c>
      <c r="B66" t="s">
        <v>232</v>
      </c>
      <c r="C66" t="s">
        <v>61</v>
      </c>
      <c r="D66" t="s">
        <v>118</v>
      </c>
    </row>
    <row r="67" spans="1:4" x14ac:dyDescent="0.25">
      <c r="A67" t="str">
        <f>tipo_departamento[[#This Row],[departamento_padre]]&amp;"-"&amp;tipo_departamento[[#This Row],[tipo_departamento]]</f>
        <v>282-ADMINISTRACION</v>
      </c>
      <c r="B67" t="s">
        <v>232</v>
      </c>
      <c r="C67" t="s">
        <v>72</v>
      </c>
      <c r="D67" t="s">
        <v>217</v>
      </c>
    </row>
    <row r="68" spans="1:4" x14ac:dyDescent="0.25">
      <c r="A68" t="str">
        <f>tipo_departamento[[#This Row],[departamento_padre]]&amp;"-"&amp;tipo_departamento[[#This Row],[tipo_departamento]]</f>
        <v>282-PROY ESPECIALES</v>
      </c>
      <c r="B68" t="s">
        <v>232</v>
      </c>
      <c r="C68" t="s">
        <v>96</v>
      </c>
      <c r="D68" t="s">
        <v>215</v>
      </c>
    </row>
    <row r="69" spans="1:4" x14ac:dyDescent="0.25">
      <c r="A69" t="str">
        <f>tipo_departamento[[#This Row],[departamento_padre]]&amp;"-"&amp;tipo_departamento[[#This Row],[tipo_departamento]]</f>
        <v>284-DEPARTAMENTOS</v>
      </c>
      <c r="B69" t="s">
        <v>233</v>
      </c>
      <c r="C69" t="s">
        <v>33</v>
      </c>
      <c r="D69" t="s">
        <v>216</v>
      </c>
    </row>
    <row r="70" spans="1:4" x14ac:dyDescent="0.25">
      <c r="A70" t="str">
        <f>tipo_departamento[[#This Row],[departamento_padre]]&amp;"-"&amp;tipo_departamento[[#This Row],[tipo_departamento]]</f>
        <v>284-POSTGRADO</v>
      </c>
      <c r="B70" t="s">
        <v>233</v>
      </c>
      <c r="C70" t="s">
        <v>38</v>
      </c>
      <c r="D70" t="s">
        <v>118</v>
      </c>
    </row>
    <row r="71" spans="1:4" x14ac:dyDescent="0.25">
      <c r="A71" t="str">
        <f>tipo_departamento[[#This Row],[departamento_padre]]&amp;"-"&amp;tipo_departamento[[#This Row],[tipo_departamento]]</f>
        <v>284-PREGRADO</v>
      </c>
      <c r="B71" t="s">
        <v>233</v>
      </c>
      <c r="C71" t="s">
        <v>39</v>
      </c>
      <c r="D71" t="s">
        <v>119</v>
      </c>
    </row>
    <row r="72" spans="1:4" x14ac:dyDescent="0.25">
      <c r="A72" t="str">
        <f>tipo_departamento[[#This Row],[departamento_padre]]&amp;"-"&amp;tipo_departamento[[#This Row],[tipo_departamento]]</f>
        <v>284-EDUCACION CONTINUA</v>
      </c>
      <c r="B72" t="s">
        <v>233</v>
      </c>
      <c r="C72" t="s">
        <v>57</v>
      </c>
      <c r="D72" t="s">
        <v>105</v>
      </c>
    </row>
    <row r="73" spans="1:4" x14ac:dyDescent="0.25">
      <c r="A73" t="str">
        <f>tipo_departamento[[#This Row],[departamento_padre]]&amp;"-"&amp;tipo_departamento[[#This Row],[tipo_departamento]]</f>
        <v>284-PROY ESPECIALES</v>
      </c>
      <c r="B73" t="s">
        <v>233</v>
      </c>
      <c r="C73" t="s">
        <v>97</v>
      </c>
      <c r="D73" t="s">
        <v>215</v>
      </c>
    </row>
    <row r="74" spans="1:4" x14ac:dyDescent="0.25">
      <c r="A74" t="str">
        <f>tipo_departamento[[#This Row],[departamento_padre]]&amp;"-"&amp;tipo_departamento[[#This Row],[tipo_departamento]]</f>
        <v>284-VACACIONALES</v>
      </c>
      <c r="B74" t="s">
        <v>233</v>
      </c>
      <c r="C74" s="6" t="s">
        <v>248</v>
      </c>
      <c r="D74" t="s">
        <v>165</v>
      </c>
    </row>
    <row r="75" spans="1:4" x14ac:dyDescent="0.25">
      <c r="A75" t="str">
        <f>tipo_departamento[[#This Row],[departamento_padre]]&amp;"-"&amp;tipo_departamento[[#This Row],[tipo_departamento]]</f>
        <v>286-EDUCACION CONTINUA</v>
      </c>
      <c r="B75" t="s">
        <v>234</v>
      </c>
      <c r="C75" t="s">
        <v>2</v>
      </c>
      <c r="D75" t="s">
        <v>105</v>
      </c>
    </row>
    <row r="76" spans="1:4" x14ac:dyDescent="0.25">
      <c r="A76" t="str">
        <f>tipo_departamento[[#This Row],[departamento_padre]]&amp;"-"&amp;tipo_departamento[[#This Row],[tipo_departamento]]</f>
        <v>286-DEPARTAMENTOS</v>
      </c>
      <c r="B76" t="s">
        <v>234</v>
      </c>
      <c r="C76" t="s">
        <v>22</v>
      </c>
      <c r="D76" t="s">
        <v>216</v>
      </c>
    </row>
    <row r="77" spans="1:4" x14ac:dyDescent="0.25">
      <c r="A77" t="str">
        <f>tipo_departamento[[#This Row],[departamento_padre]]&amp;"-"&amp;tipo_departamento[[#This Row],[tipo_departamento]]</f>
        <v>286-POSTGRADO</v>
      </c>
      <c r="B77" t="s">
        <v>234</v>
      </c>
      <c r="C77" t="s">
        <v>37</v>
      </c>
      <c r="D77" t="s">
        <v>118</v>
      </c>
    </row>
    <row r="78" spans="1:4" x14ac:dyDescent="0.25">
      <c r="A78" t="str">
        <f>tipo_departamento[[#This Row],[departamento_padre]]&amp;"-"&amp;tipo_departamento[[#This Row],[tipo_departamento]]</f>
        <v>286-PREGRADO</v>
      </c>
      <c r="B78" t="s">
        <v>234</v>
      </c>
      <c r="C78" t="s">
        <v>42</v>
      </c>
      <c r="D78" t="s">
        <v>119</v>
      </c>
    </row>
    <row r="79" spans="1:4" x14ac:dyDescent="0.25">
      <c r="A79" t="str">
        <f>tipo_departamento[[#This Row],[departamento_padre]]&amp;"-"&amp;tipo_departamento[[#This Row],[tipo_departamento]]</f>
        <v>286-PROY ESPECIALES</v>
      </c>
      <c r="B79" t="s">
        <v>234</v>
      </c>
      <c r="C79" t="s">
        <v>58</v>
      </c>
      <c r="D79" t="s">
        <v>215</v>
      </c>
    </row>
    <row r="80" spans="1:4" x14ac:dyDescent="0.25">
      <c r="A80" t="str">
        <f>tipo_departamento[[#This Row],[departamento_padre]]&amp;"-"&amp;tipo_departamento[[#This Row],[tipo_departamento]]</f>
        <v>286-VACACIONALES</v>
      </c>
      <c r="B80" t="s">
        <v>234</v>
      </c>
      <c r="C80" s="6" t="s">
        <v>249</v>
      </c>
      <c r="D80" t="s">
        <v>165</v>
      </c>
    </row>
    <row r="81" spans="1:4" x14ac:dyDescent="0.25">
      <c r="A81" t="str">
        <f>tipo_departamento[[#This Row],[departamento_padre]]&amp;"-"&amp;tipo_departamento[[#This Row],[tipo_departamento]]</f>
        <v>3-DEPARTAMENTOS</v>
      </c>
      <c r="B81" t="s">
        <v>219</v>
      </c>
      <c r="C81" t="s">
        <v>3</v>
      </c>
      <c r="D81" t="s">
        <v>216</v>
      </c>
    </row>
    <row r="82" spans="1:4" x14ac:dyDescent="0.25">
      <c r="A82" t="str">
        <f>tipo_departamento[[#This Row],[departamento_padre]]&amp;"-"&amp;tipo_departamento[[#This Row],[tipo_departamento]]</f>
        <v>3-PREGRADO</v>
      </c>
      <c r="B82" t="s">
        <v>219</v>
      </c>
      <c r="C82" t="s">
        <v>6</v>
      </c>
      <c r="D82" t="s">
        <v>119</v>
      </c>
    </row>
    <row r="83" spans="1:4" x14ac:dyDescent="0.25">
      <c r="A83" t="str">
        <f>tipo_departamento[[#This Row],[departamento_padre]]&amp;"-"&amp;tipo_departamento[[#This Row],[tipo_departamento]]</f>
        <v>3-POSTGRADO</v>
      </c>
      <c r="B83" t="s">
        <v>219</v>
      </c>
      <c r="C83" t="s">
        <v>40</v>
      </c>
      <c r="D83" t="s">
        <v>118</v>
      </c>
    </row>
    <row r="84" spans="1:4" x14ac:dyDescent="0.25">
      <c r="A84" t="str">
        <f>tipo_departamento[[#This Row],[departamento_padre]]&amp;"-"&amp;tipo_departamento[[#This Row],[tipo_departamento]]</f>
        <v>3-EDUCACION CONTINUA</v>
      </c>
      <c r="B84" t="s">
        <v>219</v>
      </c>
      <c r="C84" t="s">
        <v>50</v>
      </c>
      <c r="D84" t="s">
        <v>105</v>
      </c>
    </row>
    <row r="85" spans="1:4" x14ac:dyDescent="0.25">
      <c r="A85" t="str">
        <f>tipo_departamento[[#This Row],[departamento_padre]]&amp;"-"&amp;tipo_departamento[[#This Row],[tipo_departamento]]</f>
        <v>3-ADMINISTRACION</v>
      </c>
      <c r="B85" t="s">
        <v>219</v>
      </c>
      <c r="C85" t="s">
        <v>64</v>
      </c>
      <c r="D85" t="s">
        <v>217</v>
      </c>
    </row>
    <row r="86" spans="1:4" x14ac:dyDescent="0.25">
      <c r="A86" t="str">
        <f>tipo_departamento[[#This Row],[departamento_padre]]&amp;"-"&amp;tipo_departamento[[#This Row],[tipo_departamento]]</f>
        <v>3-PROY ESPECIALES</v>
      </c>
      <c r="B86" t="s">
        <v>219</v>
      </c>
      <c r="C86" t="s">
        <v>95</v>
      </c>
      <c r="D86" t="s">
        <v>215</v>
      </c>
    </row>
    <row r="87" spans="1:4" x14ac:dyDescent="0.25">
      <c r="A87" t="str">
        <f>tipo_departamento[[#This Row],[departamento_padre]]&amp;"-"&amp;tipo_departamento[[#This Row],[tipo_departamento]]</f>
        <v>3-VACACIONALES</v>
      </c>
      <c r="B87" s="6" t="s">
        <v>219</v>
      </c>
      <c r="C87" s="6" t="s">
        <v>241</v>
      </c>
      <c r="D87" t="s">
        <v>165</v>
      </c>
    </row>
    <row r="88" spans="1:4" x14ac:dyDescent="0.25">
      <c r="A88" t="str">
        <f>tipo_departamento[[#This Row],[departamento_padre]]&amp;"-"&amp;tipo_departamento[[#This Row],[tipo_departamento]]</f>
        <v>593-EDUCACION CONTINUA</v>
      </c>
      <c r="B88" t="s">
        <v>235</v>
      </c>
      <c r="C88" t="s">
        <v>74</v>
      </c>
      <c r="D88" t="s">
        <v>105</v>
      </c>
    </row>
    <row r="89" spans="1:4" x14ac:dyDescent="0.25">
      <c r="A89" t="str">
        <f>tipo_departamento[[#This Row],[departamento_padre]]&amp;"-"&amp;tipo_departamento[[#This Row],[tipo_departamento]]</f>
        <v>593-ADMINISTRACION</v>
      </c>
      <c r="B89" t="s">
        <v>235</v>
      </c>
      <c r="C89" t="s">
        <v>75</v>
      </c>
      <c r="D89" t="s">
        <v>217</v>
      </c>
    </row>
    <row r="90" spans="1:4" x14ac:dyDescent="0.25">
      <c r="A90" t="str">
        <f>tipo_departamento[[#This Row],[departamento_padre]]&amp;"-"&amp;tipo_departamento[[#This Row],[tipo_departamento]]</f>
        <v>593-EDUCACION CONTINUA</v>
      </c>
      <c r="B90" t="s">
        <v>235</v>
      </c>
      <c r="C90" t="s">
        <v>76</v>
      </c>
      <c r="D90" t="s">
        <v>105</v>
      </c>
    </row>
    <row r="91" spans="1:4" x14ac:dyDescent="0.25">
      <c r="A91" t="str">
        <f>tipo_departamento[[#This Row],[departamento_padre]]&amp;"-"&amp;tipo_departamento[[#This Row],[tipo_departamento]]</f>
        <v>593-EDUCACION CONTINUA</v>
      </c>
      <c r="B91" t="s">
        <v>235</v>
      </c>
      <c r="C91" t="s">
        <v>77</v>
      </c>
      <c r="D91" t="s">
        <v>105</v>
      </c>
    </row>
    <row r="92" spans="1:4" x14ac:dyDescent="0.25">
      <c r="A92" t="str">
        <f>tipo_departamento[[#This Row],[departamento_padre]]&amp;"-"&amp;tipo_departamento[[#This Row],[tipo_departamento]]</f>
        <v>593-EDUCACION CONTINUA</v>
      </c>
      <c r="B92" t="s">
        <v>235</v>
      </c>
      <c r="C92" t="s">
        <v>79</v>
      </c>
      <c r="D92" t="s">
        <v>105</v>
      </c>
    </row>
    <row r="93" spans="1:4" x14ac:dyDescent="0.25">
      <c r="A93" t="str">
        <f>tipo_departamento[[#This Row],[departamento_padre]]&amp;"-"&amp;tipo_departamento[[#This Row],[tipo_departamento]]</f>
        <v>593-EDUCACION CONTINUA</v>
      </c>
      <c r="B93" t="s">
        <v>235</v>
      </c>
      <c r="C93" t="s">
        <v>80</v>
      </c>
      <c r="D93" t="s">
        <v>105</v>
      </c>
    </row>
    <row r="94" spans="1:4" x14ac:dyDescent="0.25">
      <c r="A94" t="str">
        <f>tipo_departamento[[#This Row],[departamento_padre]]&amp;"-"&amp;tipo_departamento[[#This Row],[tipo_departamento]]</f>
        <v>593-EDUCACION CONTINUA</v>
      </c>
      <c r="B94" t="s">
        <v>235</v>
      </c>
      <c r="C94" t="s">
        <v>81</v>
      </c>
      <c r="D94" t="s">
        <v>105</v>
      </c>
    </row>
    <row r="95" spans="1:4" x14ac:dyDescent="0.25">
      <c r="A95" t="str">
        <f>tipo_departamento[[#This Row],[departamento_padre]]&amp;"-"&amp;tipo_departamento[[#This Row],[tipo_departamento]]</f>
        <v>593-EDUCACION CONTINUA</v>
      </c>
      <c r="B95" t="s">
        <v>235</v>
      </c>
      <c r="C95" t="s">
        <v>82</v>
      </c>
      <c r="D95" t="s">
        <v>105</v>
      </c>
    </row>
    <row r="96" spans="1:4" x14ac:dyDescent="0.25">
      <c r="A96" t="str">
        <f>tipo_departamento[[#This Row],[departamento_padre]]&amp;"-"&amp;tipo_departamento[[#This Row],[tipo_departamento]]</f>
        <v>593-EDUCACION CONTINUA</v>
      </c>
      <c r="B96" t="s">
        <v>235</v>
      </c>
      <c r="C96" t="s">
        <v>83</v>
      </c>
      <c r="D96" t="s">
        <v>105</v>
      </c>
    </row>
    <row r="97" spans="1:4" x14ac:dyDescent="0.25">
      <c r="A97" t="str">
        <f>tipo_departamento[[#This Row],[departamento_padre]]&amp;"-"&amp;tipo_departamento[[#This Row],[tipo_departamento]]</f>
        <v>593-EDUCACION CONTINUA</v>
      </c>
      <c r="B97" t="s">
        <v>235</v>
      </c>
      <c r="C97" t="s">
        <v>84</v>
      </c>
      <c r="D97" t="s">
        <v>105</v>
      </c>
    </row>
    <row r="98" spans="1:4" x14ac:dyDescent="0.25">
      <c r="A98" t="str">
        <f>tipo_departamento[[#This Row],[departamento_padre]]&amp;"-"&amp;tipo_departamento[[#This Row],[tipo_departamento]]</f>
        <v>593-EDUCACION CONTINUA</v>
      </c>
      <c r="B98" t="s">
        <v>235</v>
      </c>
      <c r="C98" t="s">
        <v>85</v>
      </c>
      <c r="D98" t="s">
        <v>105</v>
      </c>
    </row>
    <row r="99" spans="1:4" x14ac:dyDescent="0.25">
      <c r="A99" t="str">
        <f>tipo_departamento[[#This Row],[departamento_padre]]&amp;"-"&amp;tipo_departamento[[#This Row],[tipo_departamento]]</f>
        <v>593-EDUCACION CONTINUA</v>
      </c>
      <c r="B99" t="s">
        <v>235</v>
      </c>
      <c r="C99" t="s">
        <v>86</v>
      </c>
      <c r="D99" t="s">
        <v>105</v>
      </c>
    </row>
    <row r="100" spans="1:4" x14ac:dyDescent="0.25">
      <c r="A100" t="str">
        <f>tipo_departamento[[#This Row],[departamento_padre]]&amp;"-"&amp;tipo_departamento[[#This Row],[tipo_departamento]]</f>
        <v>593-EDUCACION CONTINUA</v>
      </c>
      <c r="B100" t="s">
        <v>235</v>
      </c>
      <c r="C100" t="s">
        <v>87</v>
      </c>
      <c r="D100" t="s">
        <v>105</v>
      </c>
    </row>
    <row r="101" spans="1:4" x14ac:dyDescent="0.25">
      <c r="A101" t="str">
        <f>tipo_departamento[[#This Row],[departamento_padre]]&amp;"-"&amp;tipo_departamento[[#This Row],[tipo_departamento]]</f>
        <v>593-EDUCACION CONTINUA</v>
      </c>
      <c r="B101" t="s">
        <v>235</v>
      </c>
      <c r="C101" t="s">
        <v>88</v>
      </c>
      <c r="D101" t="s">
        <v>105</v>
      </c>
    </row>
    <row r="102" spans="1:4" x14ac:dyDescent="0.25">
      <c r="A102" t="str">
        <f>tipo_departamento[[#This Row],[departamento_padre]]&amp;"-"&amp;tipo_departamento[[#This Row],[tipo_departamento]]</f>
        <v>8-DEPARTAMENTOS</v>
      </c>
      <c r="B102" t="s">
        <v>236</v>
      </c>
      <c r="C102" t="s">
        <v>4</v>
      </c>
      <c r="D102" t="s">
        <v>216</v>
      </c>
    </row>
    <row r="103" spans="1:4" x14ac:dyDescent="0.25">
      <c r="A103" t="str">
        <f>tipo_departamento[[#This Row],[departamento_padre]]&amp;"-"&amp;tipo_departamento[[#This Row],[tipo_departamento]]</f>
        <v>8-PREGRADO</v>
      </c>
      <c r="B103" t="s">
        <v>236</v>
      </c>
      <c r="C103" t="s">
        <v>7</v>
      </c>
      <c r="D103" t="s">
        <v>119</v>
      </c>
    </row>
    <row r="104" spans="1:4" x14ac:dyDescent="0.25">
      <c r="A104" t="str">
        <f>tipo_departamento[[#This Row],[departamento_padre]]&amp;"-"&amp;tipo_departamento[[#This Row],[tipo_departamento]]</f>
        <v>8-POSTGRADO</v>
      </c>
      <c r="B104" t="s">
        <v>236</v>
      </c>
      <c r="C104" t="s">
        <v>46</v>
      </c>
      <c r="D104" t="s">
        <v>118</v>
      </c>
    </row>
    <row r="105" spans="1:4" x14ac:dyDescent="0.25">
      <c r="A105" t="str">
        <f>tipo_departamento[[#This Row],[departamento_padre]]&amp;"-"&amp;tipo_departamento[[#This Row],[tipo_departamento]]</f>
        <v>8-ADMINISTRACION</v>
      </c>
      <c r="B105" t="s">
        <v>236</v>
      </c>
      <c r="C105" t="s">
        <v>65</v>
      </c>
      <c r="D105" t="s">
        <v>217</v>
      </c>
    </row>
    <row r="106" spans="1:4" x14ac:dyDescent="0.25">
      <c r="A106" t="str">
        <f>tipo_departamento[[#This Row],[departamento_padre]]&amp;"-"&amp;tipo_departamento[[#This Row],[tipo_departamento]]</f>
        <v>8-PROY ESPECIALES</v>
      </c>
      <c r="B106" t="s">
        <v>236</v>
      </c>
      <c r="C106" t="s">
        <v>94</v>
      </c>
      <c r="D106" t="s">
        <v>215</v>
      </c>
    </row>
    <row r="107" spans="1:4" x14ac:dyDescent="0.25">
      <c r="A107" t="str">
        <f>tipo_departamento[[#This Row],[departamento_padre]]&amp;"-"&amp;tipo_departamento[[#This Row],[tipo_departamento]]</f>
        <v>8-EDUCACION CONTINUA</v>
      </c>
      <c r="B107" t="s">
        <v>236</v>
      </c>
      <c r="C107" t="s">
        <v>92</v>
      </c>
      <c r="D107" t="s">
        <v>105</v>
      </c>
    </row>
    <row r="108" spans="1:4" x14ac:dyDescent="0.25">
      <c r="A108" t="str">
        <f>tipo_departamento[[#This Row],[departamento_padre]]&amp;"-"&amp;tipo_departamento[[#This Row],[tipo_departamento]]</f>
        <v>8-VACACIONALES</v>
      </c>
      <c r="B108" s="6" t="s">
        <v>236</v>
      </c>
      <c r="C108" s="6" t="s">
        <v>242</v>
      </c>
      <c r="D108" t="s">
        <v>165</v>
      </c>
    </row>
    <row r="109" spans="1:4" x14ac:dyDescent="0.25">
      <c r="A109" t="str">
        <f>tipo_departamento[[#This Row],[departamento_padre]]&amp;"-"&amp;tipo_departamento[[#This Row],[tipo_departamento]]</f>
        <v>819-PROY ESPECIALES</v>
      </c>
      <c r="B109" t="s">
        <v>237</v>
      </c>
      <c r="C109" t="s">
        <v>48</v>
      </c>
      <c r="D109" t="s">
        <v>215</v>
      </c>
    </row>
    <row r="110" spans="1:4" x14ac:dyDescent="0.25">
      <c r="A110" t="str">
        <f>tipo_departamento[[#This Row],[departamento_padre]]&amp;"-"&amp;tipo_departamento[[#This Row],[tipo_departamento]]</f>
        <v>819-PROY ESPECIALES</v>
      </c>
      <c r="B110" t="s">
        <v>237</v>
      </c>
      <c r="C110" t="s">
        <v>238</v>
      </c>
      <c r="D110" t="s">
        <v>215</v>
      </c>
    </row>
    <row r="111" spans="1:4" x14ac:dyDescent="0.25">
      <c r="A111" t="str">
        <f>tipo_departamento[[#This Row],[departamento_padre]]&amp;"-"&amp;tipo_departamento[[#This Row],[tipo_departamento]]</f>
        <v>819-PROY ESPECIALES</v>
      </c>
      <c r="B111" t="s">
        <v>237</v>
      </c>
      <c r="C111" t="s">
        <v>239</v>
      </c>
      <c r="D111" t="s">
        <v>215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2B9F3-3311-49C8-8232-49A97390A976}">
  <sheetPr codeName="Hoja11"/>
  <dimension ref="A1:BI499"/>
  <sheetViews>
    <sheetView zoomScale="85" zoomScaleNormal="85" workbookViewId="0"/>
  </sheetViews>
  <sheetFormatPr baseColWidth="10" defaultRowHeight="15" x14ac:dyDescent="0.25"/>
  <cols>
    <col min="1" max="1" width="28.140625" bestFit="1" customWidth="1"/>
    <col min="2" max="2" width="24.42578125" bestFit="1" customWidth="1"/>
    <col min="3" max="3" width="7" bestFit="1" customWidth="1"/>
    <col min="4" max="4" width="14" bestFit="1" customWidth="1"/>
    <col min="5" max="5" width="6.85546875" bestFit="1" customWidth="1"/>
    <col min="6" max="8" width="6.42578125" bestFit="1" customWidth="1"/>
    <col min="9" max="9" width="12.5703125" bestFit="1" customWidth="1"/>
    <col min="10" max="10" width="12.5703125" customWidth="1"/>
    <col min="11" max="11" width="26.28515625" bestFit="1" customWidth="1"/>
    <col min="12" max="12" width="14.42578125" bestFit="1" customWidth="1"/>
    <col min="13" max="13" width="36.140625" bestFit="1" customWidth="1"/>
    <col min="14" max="14" width="7" bestFit="1" customWidth="1"/>
    <col min="15" max="15" width="14" bestFit="1" customWidth="1"/>
    <col min="16" max="16" width="6.85546875" bestFit="1" customWidth="1"/>
    <col min="17" max="18" width="6.42578125" bestFit="1" customWidth="1"/>
    <col min="19" max="19" width="5.140625" bestFit="1" customWidth="1"/>
    <col min="21" max="21" width="26.28515625" bestFit="1" customWidth="1"/>
    <col min="22" max="22" width="14.42578125" bestFit="1" customWidth="1"/>
    <col min="23" max="23" width="14.7109375" bestFit="1" customWidth="1"/>
    <col min="24" max="24" width="14" bestFit="1" customWidth="1"/>
    <col min="25" max="25" width="6.85546875" bestFit="1" customWidth="1"/>
    <col min="26" max="29" width="5.140625" bestFit="1" customWidth="1"/>
    <col min="30" max="30" width="26.28515625" bestFit="1" customWidth="1"/>
    <col min="31" max="31" width="14.42578125" bestFit="1" customWidth="1"/>
    <col min="32" max="32" width="14.7109375" bestFit="1" customWidth="1"/>
    <col min="33" max="33" width="14" bestFit="1" customWidth="1"/>
    <col min="34" max="34" width="6.85546875" bestFit="1" customWidth="1"/>
    <col min="35" max="37" width="5.140625" bestFit="1" customWidth="1"/>
    <col min="38" max="38" width="5.140625" customWidth="1"/>
    <col min="39" max="39" width="5.140625" bestFit="1" customWidth="1"/>
    <col min="40" max="40" width="26.28515625" bestFit="1" customWidth="1"/>
    <col min="41" max="41" width="26.42578125" bestFit="1" customWidth="1"/>
    <col min="42" max="42" width="14" bestFit="1" customWidth="1"/>
    <col min="43" max="43" width="6.85546875" bestFit="1" customWidth="1"/>
    <col min="44" max="46" width="6.42578125" bestFit="1" customWidth="1"/>
    <col min="47" max="47" width="5.140625" bestFit="1" customWidth="1"/>
    <col min="49" max="49" width="25" bestFit="1" customWidth="1"/>
    <col min="50" max="50" width="34.42578125" bestFit="1" customWidth="1"/>
    <col min="51" max="51" width="18.5703125" bestFit="1" customWidth="1"/>
    <col min="52" max="52" width="14" bestFit="1" customWidth="1"/>
    <col min="53" max="53" width="6.85546875" bestFit="1" customWidth="1"/>
    <col min="54" max="57" width="5.140625" bestFit="1" customWidth="1"/>
    <col min="58" max="58" width="25" bestFit="1" customWidth="1"/>
    <col min="59" max="59" width="19.28515625" bestFit="1" customWidth="1"/>
    <col min="60" max="60" width="18.5703125" bestFit="1" customWidth="1"/>
    <col min="61" max="61" width="6.85546875" bestFit="1" customWidth="1"/>
    <col min="62" max="62" width="5.140625" bestFit="1" customWidth="1"/>
    <col min="63" max="65" width="6.42578125" bestFit="1" customWidth="1"/>
  </cols>
  <sheetData>
    <row r="1" spans="1:61" x14ac:dyDescent="0.25">
      <c r="A1" s="1" t="s">
        <v>0</v>
      </c>
      <c r="B1" t="s" vm="6">
        <v>231</v>
      </c>
      <c r="K1" s="1" t="s">
        <v>0</v>
      </c>
      <c r="L1" t="s" vm="6">
        <v>231</v>
      </c>
      <c r="M1" t="s">
        <v>199</v>
      </c>
      <c r="U1" s="1" t="s">
        <v>0</v>
      </c>
      <c r="V1" t="s" vm="6">
        <v>231</v>
      </c>
      <c r="W1" t="s">
        <v>165</v>
      </c>
      <c r="AD1" s="1" t="s">
        <v>0</v>
      </c>
      <c r="AE1" t="s" vm="6">
        <v>231</v>
      </c>
      <c r="AF1" t="s">
        <v>165</v>
      </c>
      <c r="AG1" t="s">
        <v>363</v>
      </c>
      <c r="AN1" s="1" t="s">
        <v>0</v>
      </c>
      <c r="AO1" t="s" vm="6">
        <v>231</v>
      </c>
      <c r="AW1" s="1" t="s">
        <v>0</v>
      </c>
      <c r="AX1" t="s" vm="6">
        <v>231</v>
      </c>
      <c r="AY1" t="s">
        <v>199</v>
      </c>
      <c r="BF1" s="1" t="s">
        <v>0</v>
      </c>
      <c r="BG1" t="s" vm="6">
        <v>231</v>
      </c>
      <c r="BH1" t="s">
        <v>199</v>
      </c>
    </row>
    <row r="2" spans="1:61" x14ac:dyDescent="0.25">
      <c r="U2" s="1" t="s">
        <v>223</v>
      </c>
      <c r="V2" t="s" vm="4">
        <v>105</v>
      </c>
      <c r="AD2" s="1" t="s">
        <v>223</v>
      </c>
      <c r="AE2" t="s" vm="5">
        <v>1</v>
      </c>
      <c r="AN2" s="1" t="s">
        <v>122</v>
      </c>
      <c r="AO2" t="s" vm="2">
        <v>1</v>
      </c>
      <c r="AW2" s="1" t="s">
        <v>122</v>
      </c>
      <c r="AX2" t="s" vm="2">
        <v>1</v>
      </c>
      <c r="BF2" s="1" t="s">
        <v>122</v>
      </c>
      <c r="BG2" t="s" vm="2">
        <v>1</v>
      </c>
    </row>
    <row r="3" spans="1:61" x14ac:dyDescent="0.25">
      <c r="A3" s="1" t="s">
        <v>129</v>
      </c>
      <c r="E3" s="1" t="s">
        <v>125</v>
      </c>
      <c r="K3" s="1" t="s">
        <v>129</v>
      </c>
      <c r="P3" s="1" t="s">
        <v>125</v>
      </c>
      <c r="AN3" s="1" t="s">
        <v>306</v>
      </c>
      <c r="AO3" t="s" vm="1">
        <v>307</v>
      </c>
      <c r="AW3" s="1" t="s">
        <v>306</v>
      </c>
      <c r="AX3" t="s" vm="1">
        <v>307</v>
      </c>
      <c r="BF3" s="1" t="s">
        <v>330</v>
      </c>
      <c r="BG3" t="s" vm="3">
        <v>331</v>
      </c>
    </row>
    <row r="4" spans="1:61" x14ac:dyDescent="0.25">
      <c r="A4" s="1" t="s">
        <v>122</v>
      </c>
      <c r="B4" s="1" t="s">
        <v>123</v>
      </c>
      <c r="C4" s="1" t="s">
        <v>124</v>
      </c>
      <c r="D4" s="1" t="s">
        <v>126</v>
      </c>
      <c r="E4">
        <v>2018</v>
      </c>
      <c r="F4">
        <v>2019</v>
      </c>
      <c r="G4">
        <v>2020</v>
      </c>
      <c r="H4">
        <v>2021</v>
      </c>
      <c r="K4" s="1" t="s">
        <v>122</v>
      </c>
      <c r="L4" s="1" t="s">
        <v>130</v>
      </c>
      <c r="M4" s="1" t="s">
        <v>164</v>
      </c>
      <c r="N4" s="1" t="s">
        <v>124</v>
      </c>
      <c r="O4" s="1" t="s">
        <v>126</v>
      </c>
      <c r="P4">
        <v>2018</v>
      </c>
      <c r="Q4">
        <v>2019</v>
      </c>
      <c r="R4">
        <v>2020</v>
      </c>
      <c r="S4">
        <v>2021</v>
      </c>
      <c r="U4" s="1" t="s">
        <v>129</v>
      </c>
      <c r="Y4" s="1" t="s">
        <v>125</v>
      </c>
      <c r="AD4" s="1" t="s">
        <v>129</v>
      </c>
      <c r="AH4" s="1" t="s">
        <v>125</v>
      </c>
    </row>
    <row r="5" spans="1:61" x14ac:dyDescent="0.25">
      <c r="A5" t="s">
        <v>32</v>
      </c>
      <c r="B5" t="s">
        <v>105</v>
      </c>
      <c r="C5">
        <v>12</v>
      </c>
      <c r="D5" t="s">
        <v>127</v>
      </c>
      <c r="E5" s="3">
        <v>0.30753200000000003</v>
      </c>
      <c r="F5" s="3">
        <v>0.200374</v>
      </c>
      <c r="G5" s="3"/>
      <c r="H5" s="3"/>
      <c r="K5" t="s">
        <v>32</v>
      </c>
      <c r="L5" t="s">
        <v>132</v>
      </c>
      <c r="M5" t="s">
        <v>167</v>
      </c>
      <c r="N5">
        <v>1</v>
      </c>
      <c r="O5" t="s">
        <v>128</v>
      </c>
      <c r="P5" s="3"/>
      <c r="Q5" s="3"/>
      <c r="R5" s="3"/>
      <c r="S5" s="3">
        <v>60.598125692637566</v>
      </c>
      <c r="U5" s="1" t="s">
        <v>222</v>
      </c>
      <c r="V5" s="1" t="s">
        <v>123</v>
      </c>
      <c r="W5" s="1" t="s">
        <v>124</v>
      </c>
      <c r="X5" s="1" t="s">
        <v>126</v>
      </c>
      <c r="Y5">
        <v>2018</v>
      </c>
      <c r="Z5">
        <v>2019</v>
      </c>
      <c r="AA5">
        <v>2021</v>
      </c>
      <c r="AD5" s="1" t="s">
        <v>130</v>
      </c>
      <c r="AE5" s="1" t="s">
        <v>164</v>
      </c>
      <c r="AF5" s="1" t="s">
        <v>124</v>
      </c>
      <c r="AG5" s="1" t="s">
        <v>126</v>
      </c>
      <c r="AH5">
        <v>2018</v>
      </c>
      <c r="AI5">
        <v>2019</v>
      </c>
      <c r="AJ5">
        <v>2020</v>
      </c>
      <c r="AK5">
        <v>2021</v>
      </c>
      <c r="AN5" s="1" t="s">
        <v>129</v>
      </c>
      <c r="AQ5" s="1" t="s">
        <v>125</v>
      </c>
      <c r="AW5" s="1" t="s">
        <v>129</v>
      </c>
      <c r="BA5" s="1" t="s">
        <v>125</v>
      </c>
      <c r="BF5" s="1" t="s">
        <v>129</v>
      </c>
      <c r="BI5" s="1" t="s">
        <v>125</v>
      </c>
    </row>
    <row r="6" spans="1:61" x14ac:dyDescent="0.25">
      <c r="B6" t="s">
        <v>106</v>
      </c>
      <c r="C6">
        <v>1</v>
      </c>
      <c r="D6" t="s">
        <v>127</v>
      </c>
      <c r="E6" s="3"/>
      <c r="F6" s="3"/>
      <c r="G6" s="3"/>
      <c r="H6" s="3">
        <v>127.72848000000002</v>
      </c>
      <c r="N6">
        <v>2</v>
      </c>
      <c r="O6" t="s">
        <v>127</v>
      </c>
      <c r="P6" s="3"/>
      <c r="Q6" s="3"/>
      <c r="R6" s="3"/>
      <c r="S6" s="3">
        <v>32.542577000000001</v>
      </c>
      <c r="U6" t="s">
        <v>437</v>
      </c>
      <c r="V6" t="s">
        <v>100</v>
      </c>
      <c r="W6">
        <v>12</v>
      </c>
      <c r="X6" t="s">
        <v>127</v>
      </c>
      <c r="Y6" s="3">
        <v>-68.41</v>
      </c>
      <c r="Z6" s="3">
        <v>5.8100000000000005</v>
      </c>
      <c r="AA6" s="3"/>
      <c r="AD6" t="s">
        <v>131</v>
      </c>
      <c r="AE6" t="s">
        <v>165</v>
      </c>
      <c r="AF6">
        <v>1</v>
      </c>
      <c r="AG6" t="s">
        <v>128</v>
      </c>
      <c r="AH6" s="3"/>
      <c r="AI6" s="3"/>
      <c r="AJ6" s="3"/>
      <c r="AK6" s="3">
        <v>0</v>
      </c>
      <c r="AN6" s="1" t="s">
        <v>123</v>
      </c>
      <c r="AO6" s="1" t="s">
        <v>124</v>
      </c>
      <c r="AP6" s="1" t="s">
        <v>126</v>
      </c>
      <c r="AQ6">
        <v>2018</v>
      </c>
      <c r="AR6">
        <v>2019</v>
      </c>
      <c r="AS6">
        <v>2020</v>
      </c>
      <c r="AT6">
        <v>2021</v>
      </c>
      <c r="AW6" s="1" t="s">
        <v>130</v>
      </c>
      <c r="AX6" s="1" t="s">
        <v>164</v>
      </c>
      <c r="AY6" s="1" t="s">
        <v>124</v>
      </c>
      <c r="AZ6" s="1" t="s">
        <v>126</v>
      </c>
      <c r="BA6">
        <v>2018</v>
      </c>
      <c r="BB6">
        <v>2019</v>
      </c>
      <c r="BC6">
        <v>2020</v>
      </c>
      <c r="BD6">
        <v>2021</v>
      </c>
      <c r="BF6" s="1" t="s">
        <v>123</v>
      </c>
      <c r="BG6" s="1" t="s">
        <v>124</v>
      </c>
      <c r="BH6" s="1" t="s">
        <v>126</v>
      </c>
    </row>
    <row r="7" spans="1:61" x14ac:dyDescent="0.25">
      <c r="D7" t="s">
        <v>128</v>
      </c>
      <c r="E7" s="3"/>
      <c r="F7" s="3"/>
      <c r="G7" s="3"/>
      <c r="H7" s="3">
        <v>165.84788421476742</v>
      </c>
      <c r="O7" t="s">
        <v>128</v>
      </c>
      <c r="P7" s="3"/>
      <c r="Q7" s="3"/>
      <c r="R7" s="3"/>
      <c r="S7" s="3">
        <v>120.63763788953236</v>
      </c>
      <c r="V7" t="s">
        <v>105</v>
      </c>
      <c r="W7">
        <v>1</v>
      </c>
      <c r="X7" t="s">
        <v>128</v>
      </c>
      <c r="Y7" s="3"/>
      <c r="Z7" s="3"/>
      <c r="AA7" s="3">
        <v>0</v>
      </c>
      <c r="AF7">
        <v>2</v>
      </c>
      <c r="AG7" t="s">
        <v>128</v>
      </c>
      <c r="AH7" s="3"/>
      <c r="AI7" s="3"/>
      <c r="AJ7" s="3"/>
      <c r="AK7" s="3">
        <v>0</v>
      </c>
      <c r="AN7" t="s">
        <v>100</v>
      </c>
      <c r="AO7">
        <v>1</v>
      </c>
      <c r="AP7" t="s">
        <v>127</v>
      </c>
      <c r="AQ7" s="3"/>
      <c r="AR7" s="3"/>
      <c r="AS7" s="3"/>
      <c r="AT7" s="3">
        <v>-11.228111999999999</v>
      </c>
      <c r="AW7" t="s">
        <v>132</v>
      </c>
      <c r="AX7" t="s">
        <v>167</v>
      </c>
      <c r="AY7">
        <v>12</v>
      </c>
      <c r="AZ7" t="s">
        <v>127</v>
      </c>
      <c r="BA7" s="3"/>
      <c r="BB7" s="3">
        <v>18.05</v>
      </c>
      <c r="BC7" s="3">
        <v>0</v>
      </c>
      <c r="BD7" s="3"/>
    </row>
    <row r="8" spans="1:61" x14ac:dyDescent="0.25">
      <c r="C8">
        <v>2</v>
      </c>
      <c r="D8" t="s">
        <v>127</v>
      </c>
      <c r="E8" s="3"/>
      <c r="F8" s="3"/>
      <c r="G8" s="3"/>
      <c r="H8" s="3">
        <v>287.67702200000002</v>
      </c>
      <c r="N8">
        <v>3</v>
      </c>
      <c r="O8" t="s">
        <v>127</v>
      </c>
      <c r="P8" s="3"/>
      <c r="Q8" s="3"/>
      <c r="R8" s="3"/>
      <c r="S8" s="3">
        <v>67.208833999999996</v>
      </c>
      <c r="W8">
        <v>2</v>
      </c>
      <c r="X8" t="s">
        <v>128</v>
      </c>
      <c r="Y8" s="3"/>
      <c r="Z8" s="3"/>
      <c r="AA8" s="3">
        <v>0</v>
      </c>
      <c r="AF8">
        <v>3</v>
      </c>
      <c r="AG8" t="s">
        <v>128</v>
      </c>
      <c r="AH8" s="3"/>
      <c r="AI8" s="3"/>
      <c r="AJ8" s="3"/>
      <c r="AK8" s="3">
        <v>0</v>
      </c>
      <c r="AP8" t="s">
        <v>128</v>
      </c>
      <c r="AQ8" s="3"/>
      <c r="AR8" s="3"/>
      <c r="AS8" s="3"/>
      <c r="AT8" s="3">
        <v>-8.9372469592610386</v>
      </c>
      <c r="AW8" t="s">
        <v>133</v>
      </c>
      <c r="AX8" t="s">
        <v>168</v>
      </c>
      <c r="AY8">
        <v>4</v>
      </c>
      <c r="AZ8" t="s">
        <v>127</v>
      </c>
      <c r="BA8" s="3"/>
      <c r="BB8" s="3"/>
      <c r="BC8" s="3"/>
      <c r="BD8" s="3">
        <v>0.63466699999999998</v>
      </c>
    </row>
    <row r="9" spans="1:61" x14ac:dyDescent="0.25">
      <c r="D9" t="s">
        <v>128</v>
      </c>
      <c r="E9" s="3"/>
      <c r="F9" s="3"/>
      <c r="G9" s="3"/>
      <c r="H9" s="3">
        <v>331.69576842953484</v>
      </c>
      <c r="O9" t="s">
        <v>128</v>
      </c>
      <c r="P9" s="3"/>
      <c r="Q9" s="3"/>
      <c r="R9" s="3"/>
      <c r="S9" s="3">
        <v>180.67465485390034</v>
      </c>
      <c r="W9">
        <v>3</v>
      </c>
      <c r="X9" t="s">
        <v>128</v>
      </c>
      <c r="Y9" s="3"/>
      <c r="Z9" s="3"/>
      <c r="AA9" s="3">
        <v>0</v>
      </c>
      <c r="AF9">
        <v>4</v>
      </c>
      <c r="AG9" t="s">
        <v>128</v>
      </c>
      <c r="AH9" s="3"/>
      <c r="AI9" s="3"/>
      <c r="AJ9" s="3"/>
      <c r="AK9" s="3">
        <v>0</v>
      </c>
      <c r="AO9">
        <v>2</v>
      </c>
      <c r="AP9" t="s">
        <v>127</v>
      </c>
      <c r="AQ9" s="3"/>
      <c r="AR9" s="3"/>
      <c r="AS9" s="3"/>
      <c r="AT9" s="3">
        <v>-21.157644999999999</v>
      </c>
      <c r="AY9">
        <v>5</v>
      </c>
      <c r="AZ9" t="s">
        <v>127</v>
      </c>
      <c r="BA9" s="3"/>
      <c r="BB9" s="3"/>
      <c r="BC9" s="3"/>
      <c r="BD9" s="3">
        <v>0.63466699999999998</v>
      </c>
    </row>
    <row r="10" spans="1:61" x14ac:dyDescent="0.25">
      <c r="C10">
        <v>3</v>
      </c>
      <c r="D10" t="s">
        <v>127</v>
      </c>
      <c r="E10" s="3"/>
      <c r="F10" s="3"/>
      <c r="G10" s="3"/>
      <c r="H10" s="3">
        <v>454.67724700000002</v>
      </c>
      <c r="N10">
        <v>4</v>
      </c>
      <c r="O10" t="s">
        <v>127</v>
      </c>
      <c r="P10" s="3"/>
      <c r="Q10" s="3"/>
      <c r="R10" s="3"/>
      <c r="S10" s="3">
        <v>128.12311299999999</v>
      </c>
      <c r="W10">
        <v>4</v>
      </c>
      <c r="X10" t="s">
        <v>128</v>
      </c>
      <c r="Y10" s="3"/>
      <c r="Z10" s="3"/>
      <c r="AA10" s="3">
        <v>0</v>
      </c>
      <c r="AF10">
        <v>5</v>
      </c>
      <c r="AG10" t="s">
        <v>127</v>
      </c>
      <c r="AH10" s="3"/>
      <c r="AI10" s="3"/>
      <c r="AJ10" s="3"/>
      <c r="AK10" s="3">
        <v>19.334</v>
      </c>
      <c r="AP10" t="s">
        <v>128</v>
      </c>
      <c r="AQ10" s="3"/>
      <c r="AR10" s="3"/>
      <c r="AS10" s="3"/>
      <c r="AT10" s="3">
        <v>-17.874493918522077</v>
      </c>
      <c r="AY10">
        <v>12</v>
      </c>
      <c r="AZ10" t="s">
        <v>127</v>
      </c>
      <c r="BA10" s="3">
        <v>1.5894999999999999</v>
      </c>
      <c r="BB10" s="3"/>
      <c r="BC10" s="3"/>
      <c r="BD10" s="3"/>
    </row>
    <row r="11" spans="1:61" x14ac:dyDescent="0.25">
      <c r="D11" t="s">
        <v>128</v>
      </c>
      <c r="E11" s="3"/>
      <c r="F11" s="3"/>
      <c r="G11" s="3"/>
      <c r="H11" s="3">
        <v>497.54365264430237</v>
      </c>
      <c r="O11" t="s">
        <v>128</v>
      </c>
      <c r="P11" s="3"/>
      <c r="Q11" s="3"/>
      <c r="R11" s="3"/>
      <c r="S11" s="3">
        <v>240.68477681269073</v>
      </c>
      <c r="W11">
        <v>5</v>
      </c>
      <c r="X11" t="s">
        <v>128</v>
      </c>
      <c r="Y11" s="3"/>
      <c r="Z11" s="3"/>
      <c r="AA11" s="3">
        <v>0</v>
      </c>
      <c r="AG11" t="s">
        <v>128</v>
      </c>
      <c r="AH11" s="3"/>
      <c r="AI11" s="3"/>
      <c r="AJ11" s="3"/>
      <c r="AK11" s="3">
        <v>0</v>
      </c>
      <c r="AO11">
        <v>3</v>
      </c>
      <c r="AP11" t="s">
        <v>127</v>
      </c>
      <c r="AQ11" s="3"/>
      <c r="AR11" s="3"/>
      <c r="AS11" s="3"/>
      <c r="AT11" s="3">
        <v>-30.901910000000001</v>
      </c>
      <c r="AW11" t="s">
        <v>146</v>
      </c>
      <c r="AX11" t="s">
        <v>181</v>
      </c>
      <c r="AY11">
        <v>1</v>
      </c>
      <c r="AZ11" t="s">
        <v>128</v>
      </c>
      <c r="BA11" s="3"/>
      <c r="BB11" s="3"/>
      <c r="BC11" s="3"/>
      <c r="BD11" s="3">
        <v>8.296904681090723</v>
      </c>
    </row>
    <row r="12" spans="1:61" x14ac:dyDescent="0.25">
      <c r="C12">
        <v>4</v>
      </c>
      <c r="D12" t="s">
        <v>127</v>
      </c>
      <c r="E12" s="3"/>
      <c r="F12" s="3"/>
      <c r="G12" s="3"/>
      <c r="H12" s="3">
        <v>591.00429299999996</v>
      </c>
      <c r="N12">
        <v>5</v>
      </c>
      <c r="O12" t="s">
        <v>127</v>
      </c>
      <c r="P12" s="3"/>
      <c r="Q12" s="3"/>
      <c r="R12" s="3"/>
      <c r="S12" s="3">
        <v>161.05573700000002</v>
      </c>
      <c r="W12">
        <v>6</v>
      </c>
      <c r="X12" t="s">
        <v>128</v>
      </c>
      <c r="Y12" s="3"/>
      <c r="Z12" s="3"/>
      <c r="AA12" s="3">
        <v>20</v>
      </c>
      <c r="AF12">
        <v>6</v>
      </c>
      <c r="AG12" t="s">
        <v>128</v>
      </c>
      <c r="AH12" s="3"/>
      <c r="AI12" s="3"/>
      <c r="AJ12" s="3"/>
      <c r="AK12" s="3">
        <v>24.99945</v>
      </c>
      <c r="AP12" t="s">
        <v>128</v>
      </c>
      <c r="AQ12" s="3"/>
      <c r="AR12" s="3"/>
      <c r="AS12" s="3"/>
      <c r="AT12" s="3">
        <v>-26.811740877783119</v>
      </c>
      <c r="AY12">
        <v>2</v>
      </c>
      <c r="AZ12" t="s">
        <v>128</v>
      </c>
      <c r="BA12" s="3"/>
      <c r="BB12" s="3"/>
      <c r="BC12" s="3"/>
      <c r="BD12" s="3">
        <v>16.593809362181446</v>
      </c>
    </row>
    <row r="13" spans="1:61" x14ac:dyDescent="0.25">
      <c r="D13" t="s">
        <v>128</v>
      </c>
      <c r="E13" s="3"/>
      <c r="F13" s="3"/>
      <c r="G13" s="3"/>
      <c r="H13" s="3">
        <v>663.39153685906967</v>
      </c>
      <c r="O13" t="s">
        <v>128</v>
      </c>
      <c r="P13" s="3"/>
      <c r="Q13" s="3"/>
      <c r="R13" s="3"/>
      <c r="S13" s="3">
        <v>300.70118882686262</v>
      </c>
      <c r="W13">
        <v>12</v>
      </c>
      <c r="X13" t="s">
        <v>128</v>
      </c>
      <c r="Y13" s="3"/>
      <c r="Z13" s="3"/>
      <c r="AA13" s="3">
        <v>50</v>
      </c>
      <c r="AF13">
        <v>12</v>
      </c>
      <c r="AG13" t="s">
        <v>127</v>
      </c>
      <c r="AH13" s="3">
        <v>45.84</v>
      </c>
      <c r="AI13" s="3">
        <v>3.48</v>
      </c>
      <c r="AJ13" s="3">
        <v>36.07</v>
      </c>
      <c r="AK13" s="3"/>
      <c r="AO13">
        <v>4</v>
      </c>
      <c r="AP13" t="s">
        <v>127</v>
      </c>
      <c r="AQ13" s="3"/>
      <c r="AR13" s="3"/>
      <c r="AS13" s="3"/>
      <c r="AT13" s="3">
        <v>-40.759282999999996</v>
      </c>
      <c r="AY13">
        <v>3</v>
      </c>
      <c r="AZ13" t="s">
        <v>127</v>
      </c>
      <c r="BA13" s="3"/>
      <c r="BB13" s="3"/>
      <c r="BC13" s="3"/>
      <c r="BD13" s="3">
        <v>1.058108</v>
      </c>
    </row>
    <row r="14" spans="1:61" x14ac:dyDescent="0.25">
      <c r="C14">
        <v>5</v>
      </c>
      <c r="D14" t="s">
        <v>127</v>
      </c>
      <c r="E14" s="3"/>
      <c r="F14" s="3"/>
      <c r="G14" s="3"/>
      <c r="H14" s="3">
        <v>758.58620300000007</v>
      </c>
      <c r="N14">
        <v>6</v>
      </c>
      <c r="O14" t="s">
        <v>128</v>
      </c>
      <c r="P14" s="3"/>
      <c r="Q14" s="3"/>
      <c r="R14" s="3"/>
      <c r="S14" s="3">
        <v>363.51514576823422</v>
      </c>
      <c r="V14" t="s">
        <v>108</v>
      </c>
      <c r="W14">
        <v>12</v>
      </c>
      <c r="X14" t="s">
        <v>127</v>
      </c>
      <c r="Y14" s="3">
        <v>1.3209</v>
      </c>
      <c r="Z14" s="3"/>
      <c r="AA14" s="3"/>
      <c r="AG14" t="s">
        <v>128</v>
      </c>
      <c r="AH14" s="3"/>
      <c r="AI14" s="3"/>
      <c r="AJ14" s="3"/>
      <c r="AK14" s="3">
        <v>43.5</v>
      </c>
      <c r="AP14" t="s">
        <v>128</v>
      </c>
      <c r="AQ14" s="3"/>
      <c r="AR14" s="3"/>
      <c r="AS14" s="3"/>
      <c r="AT14" s="3">
        <v>-35.748987837044155</v>
      </c>
      <c r="AZ14" t="s">
        <v>128</v>
      </c>
      <c r="BA14" s="3"/>
      <c r="BB14" s="3"/>
      <c r="BC14" s="3"/>
      <c r="BD14" s="3">
        <v>24.901337480763964</v>
      </c>
    </row>
    <row r="15" spans="1:61" x14ac:dyDescent="0.25">
      <c r="D15" t="s">
        <v>128</v>
      </c>
      <c r="E15" s="3"/>
      <c r="F15" s="3"/>
      <c r="G15" s="3"/>
      <c r="H15" s="3">
        <v>829.23942107383721</v>
      </c>
      <c r="N15">
        <v>12</v>
      </c>
      <c r="O15" t="s">
        <v>127</v>
      </c>
      <c r="P15" s="3">
        <v>846.96508699999993</v>
      </c>
      <c r="Q15" s="3">
        <v>901.75299100000007</v>
      </c>
      <c r="R15" s="3">
        <v>537.97289999999998</v>
      </c>
      <c r="S15" s="3"/>
      <c r="V15" t="s">
        <v>109</v>
      </c>
      <c r="W15">
        <v>1</v>
      </c>
      <c r="X15" t="s">
        <v>128</v>
      </c>
      <c r="Y15" s="3"/>
      <c r="Z15" s="3"/>
      <c r="AA15" s="3">
        <v>0</v>
      </c>
      <c r="AO15">
        <v>5</v>
      </c>
      <c r="AP15" t="s">
        <v>127</v>
      </c>
      <c r="AQ15" s="3"/>
      <c r="AR15" s="3"/>
      <c r="AS15" s="3"/>
      <c r="AT15" s="3">
        <v>-50.297446000000001</v>
      </c>
      <c r="AY15">
        <v>4</v>
      </c>
      <c r="AZ15" t="s">
        <v>127</v>
      </c>
      <c r="BA15" s="3"/>
      <c r="BB15" s="3"/>
      <c r="BC15" s="3"/>
      <c r="BD15" s="3">
        <v>32.297547999999999</v>
      </c>
    </row>
    <row r="16" spans="1:61" x14ac:dyDescent="0.25">
      <c r="C16">
        <v>6</v>
      </c>
      <c r="D16" t="s">
        <v>128</v>
      </c>
      <c r="E16" s="3"/>
      <c r="F16" s="3"/>
      <c r="G16" s="3"/>
      <c r="H16" s="3">
        <v>995.08730528860474</v>
      </c>
      <c r="O16" t="s">
        <v>128</v>
      </c>
      <c r="P16" s="3"/>
      <c r="Q16" s="3"/>
      <c r="R16" s="3"/>
      <c r="S16" s="3">
        <v>726.69147578964999</v>
      </c>
      <c r="W16">
        <v>2</v>
      </c>
      <c r="X16" t="s">
        <v>128</v>
      </c>
      <c r="Y16" s="3"/>
      <c r="Z16" s="3"/>
      <c r="AA16" s="3">
        <v>0</v>
      </c>
      <c r="AP16" t="s">
        <v>128</v>
      </c>
      <c r="AQ16" s="3"/>
      <c r="AR16" s="3"/>
      <c r="AS16" s="3"/>
      <c r="AT16" s="3">
        <v>-44.686234796305193</v>
      </c>
      <c r="AZ16" t="s">
        <v>128</v>
      </c>
      <c r="BA16" s="3"/>
      <c r="BB16" s="3"/>
      <c r="BC16" s="3"/>
      <c r="BD16" s="3">
        <v>33.198242161854687</v>
      </c>
    </row>
    <row r="17" spans="2:56" x14ac:dyDescent="0.25">
      <c r="C17">
        <v>12</v>
      </c>
      <c r="D17" t="s">
        <v>127</v>
      </c>
      <c r="E17" s="3">
        <v>2291.9961269999999</v>
      </c>
      <c r="F17" s="3">
        <v>2413.7029790000001</v>
      </c>
      <c r="G17" s="3">
        <v>1958.537503</v>
      </c>
      <c r="H17" s="3"/>
      <c r="L17" t="s">
        <v>133</v>
      </c>
      <c r="M17" t="s">
        <v>168</v>
      </c>
      <c r="N17">
        <v>3</v>
      </c>
      <c r="O17" t="s">
        <v>127</v>
      </c>
      <c r="P17" s="3"/>
      <c r="Q17" s="3"/>
      <c r="R17" s="3"/>
      <c r="S17" s="3">
        <v>1.7030000000000001</v>
      </c>
      <c r="W17">
        <v>3</v>
      </c>
      <c r="X17" t="s">
        <v>128</v>
      </c>
      <c r="Y17" s="3"/>
      <c r="Z17" s="3"/>
      <c r="AA17" s="3">
        <v>0</v>
      </c>
      <c r="AO17">
        <v>6</v>
      </c>
      <c r="AP17" t="s">
        <v>128</v>
      </c>
      <c r="AQ17" s="3"/>
      <c r="AR17" s="3"/>
      <c r="AS17" s="3"/>
      <c r="AT17" s="3">
        <v>-53.623481755566239</v>
      </c>
      <c r="AY17">
        <v>5</v>
      </c>
      <c r="AZ17" t="s">
        <v>127</v>
      </c>
      <c r="BA17" s="3"/>
      <c r="BB17" s="3"/>
      <c r="BC17" s="3"/>
      <c r="BD17" s="3">
        <v>33.299073</v>
      </c>
    </row>
    <row r="18" spans="2:56" x14ac:dyDescent="0.25">
      <c r="D18" t="s">
        <v>128</v>
      </c>
      <c r="E18" s="3"/>
      <c r="F18" s="3"/>
      <c r="G18" s="3"/>
      <c r="H18" s="3">
        <v>1990.9709989768</v>
      </c>
      <c r="N18">
        <v>4</v>
      </c>
      <c r="O18" t="s">
        <v>127</v>
      </c>
      <c r="P18" s="3"/>
      <c r="Q18" s="3"/>
      <c r="R18" s="3"/>
      <c r="S18" s="3">
        <v>4.3029999999999999</v>
      </c>
      <c r="W18">
        <v>4</v>
      </c>
      <c r="X18" t="s">
        <v>128</v>
      </c>
      <c r="Y18" s="3"/>
      <c r="Z18" s="3"/>
      <c r="AA18" s="3">
        <v>0</v>
      </c>
      <c r="AO18">
        <v>12</v>
      </c>
      <c r="AP18" t="s">
        <v>127</v>
      </c>
      <c r="AQ18" s="3">
        <v>-70.673005000000003</v>
      </c>
      <c r="AR18" s="3">
        <v>-136.22812200000001</v>
      </c>
      <c r="AS18" s="3">
        <v>-132.69709</v>
      </c>
      <c r="AT18" s="3"/>
      <c r="AZ18" t="s">
        <v>128</v>
      </c>
      <c r="BA18" s="3"/>
      <c r="BB18" s="3"/>
      <c r="BC18" s="3"/>
      <c r="BD18" s="3">
        <v>41.49514684294541</v>
      </c>
    </row>
    <row r="19" spans="2:56" x14ac:dyDescent="0.25">
      <c r="B19" t="s">
        <v>314</v>
      </c>
      <c r="C19">
        <v>12</v>
      </c>
      <c r="D19" t="s">
        <v>127</v>
      </c>
      <c r="E19" s="3">
        <v>24.358046999999999</v>
      </c>
      <c r="F19" s="3">
        <v>14.511388999999999</v>
      </c>
      <c r="G19" s="3"/>
      <c r="H19" s="3"/>
      <c r="N19">
        <v>5</v>
      </c>
      <c r="O19" t="s">
        <v>127</v>
      </c>
      <c r="P19" s="3"/>
      <c r="Q19" s="3"/>
      <c r="R19" s="3"/>
      <c r="S19" s="3">
        <v>4.3029999999999999</v>
      </c>
      <c r="W19">
        <v>5</v>
      </c>
      <c r="X19" t="s">
        <v>128</v>
      </c>
      <c r="Y19" s="3"/>
      <c r="Z19" s="3"/>
      <c r="AA19" s="3">
        <v>0</v>
      </c>
      <c r="AP19" t="s">
        <v>128</v>
      </c>
      <c r="AQ19" s="3"/>
      <c r="AR19" s="3"/>
      <c r="AS19" s="3"/>
      <c r="AT19" s="3">
        <v>-106.39579713405999</v>
      </c>
      <c r="AY19">
        <v>6</v>
      </c>
      <c r="AZ19" t="s">
        <v>128</v>
      </c>
      <c r="BA19" s="3"/>
      <c r="BB19" s="3"/>
      <c r="BC19" s="3"/>
      <c r="BD19" s="3">
        <v>53.1171874589675</v>
      </c>
    </row>
    <row r="20" spans="2:56" x14ac:dyDescent="0.25">
      <c r="B20" t="s">
        <v>108</v>
      </c>
      <c r="C20">
        <v>12</v>
      </c>
      <c r="D20" t="s">
        <v>127</v>
      </c>
      <c r="E20" s="3">
        <v>1.6205499999999999</v>
      </c>
      <c r="F20" s="3"/>
      <c r="G20" s="3"/>
      <c r="H20" s="3"/>
      <c r="N20">
        <v>12</v>
      </c>
      <c r="O20" t="s">
        <v>127</v>
      </c>
      <c r="P20" s="3">
        <v>184.271728</v>
      </c>
      <c r="Q20" s="3">
        <v>1.2</v>
      </c>
      <c r="R20" s="3">
        <v>28.397020999999999</v>
      </c>
      <c r="S20" s="3"/>
      <c r="W20">
        <v>6</v>
      </c>
      <c r="X20" t="s">
        <v>128</v>
      </c>
      <c r="Y20" s="3"/>
      <c r="Z20" s="3"/>
      <c r="AA20" s="3">
        <v>1</v>
      </c>
      <c r="AN20" t="s">
        <v>106</v>
      </c>
      <c r="AO20">
        <v>1</v>
      </c>
      <c r="AP20" t="s">
        <v>128</v>
      </c>
      <c r="AQ20" s="3"/>
      <c r="AR20" s="3"/>
      <c r="AS20" s="3"/>
      <c r="AT20" s="3">
        <v>8.2333489976212988</v>
      </c>
      <c r="AY20">
        <v>12</v>
      </c>
      <c r="AZ20" t="s">
        <v>127</v>
      </c>
      <c r="BA20" s="3">
        <v>16.230388000000001</v>
      </c>
      <c r="BB20" s="3">
        <v>58.236229000000002</v>
      </c>
      <c r="BC20" s="3">
        <v>176.80274600000001</v>
      </c>
      <c r="BD20" s="3"/>
    </row>
    <row r="21" spans="2:56" x14ac:dyDescent="0.25">
      <c r="B21" t="s">
        <v>109</v>
      </c>
      <c r="C21">
        <v>1</v>
      </c>
      <c r="D21" t="s">
        <v>128</v>
      </c>
      <c r="E21" s="3"/>
      <c r="F21" s="3"/>
      <c r="G21" s="3"/>
      <c r="H21" s="3">
        <v>3.8514588000000002E-3</v>
      </c>
      <c r="L21" t="s">
        <v>145</v>
      </c>
      <c r="M21" t="s">
        <v>180</v>
      </c>
      <c r="N21">
        <v>1</v>
      </c>
      <c r="O21" t="s">
        <v>128</v>
      </c>
      <c r="P21" s="3"/>
      <c r="Q21" s="3"/>
      <c r="R21" s="3"/>
      <c r="S21" s="3">
        <v>57.944957543575711</v>
      </c>
      <c r="W21">
        <v>12</v>
      </c>
      <c r="X21" t="s">
        <v>127</v>
      </c>
      <c r="Y21" s="3">
        <v>0</v>
      </c>
      <c r="Z21" s="3">
        <v>0.39550000000000002</v>
      </c>
      <c r="AA21" s="3"/>
      <c r="AO21">
        <v>2</v>
      </c>
      <c r="AP21" t="s">
        <v>127</v>
      </c>
      <c r="AQ21" s="3"/>
      <c r="AR21" s="3"/>
      <c r="AS21" s="3"/>
      <c r="AT21" s="3">
        <v>5.1725580000000004</v>
      </c>
      <c r="AZ21" t="s">
        <v>128</v>
      </c>
      <c r="BA21" s="3"/>
      <c r="BB21" s="3"/>
      <c r="BC21" s="3"/>
      <c r="BD21" s="3">
        <v>106.234374917935</v>
      </c>
    </row>
    <row r="22" spans="2:56" x14ac:dyDescent="0.25">
      <c r="C22">
        <v>2</v>
      </c>
      <c r="D22" t="s">
        <v>128</v>
      </c>
      <c r="E22" s="3"/>
      <c r="F22" s="3"/>
      <c r="G22" s="3"/>
      <c r="H22" s="3">
        <v>0.11614391759999999</v>
      </c>
      <c r="N22">
        <v>2</v>
      </c>
      <c r="O22" t="s">
        <v>127</v>
      </c>
      <c r="P22" s="3"/>
      <c r="Q22" s="3"/>
      <c r="R22" s="3"/>
      <c r="S22" s="3">
        <v>140.32394499999998</v>
      </c>
      <c r="X22" t="s">
        <v>128</v>
      </c>
      <c r="Y22" s="3"/>
      <c r="Z22" s="3"/>
      <c r="AA22" s="3">
        <v>2.5</v>
      </c>
      <c r="AP22" t="s">
        <v>128</v>
      </c>
      <c r="AQ22" s="3"/>
      <c r="AR22" s="3"/>
      <c r="AS22" s="3"/>
      <c r="AT22" s="3">
        <v>16.466697995242598</v>
      </c>
      <c r="AW22" t="s">
        <v>147</v>
      </c>
      <c r="AX22" t="s">
        <v>182</v>
      </c>
      <c r="AY22">
        <v>12</v>
      </c>
      <c r="AZ22" t="s">
        <v>127</v>
      </c>
      <c r="BA22" s="3">
        <v>0.28000000000000003</v>
      </c>
      <c r="BB22" s="3"/>
      <c r="BC22" s="3"/>
      <c r="BD22" s="3"/>
    </row>
    <row r="23" spans="2:56" x14ac:dyDescent="0.25">
      <c r="C23">
        <v>3</v>
      </c>
      <c r="D23" t="s">
        <v>128</v>
      </c>
      <c r="E23" s="3"/>
      <c r="F23" s="3"/>
      <c r="G23" s="3"/>
      <c r="H23" s="3">
        <v>0.11999537639999999</v>
      </c>
      <c r="O23" t="s">
        <v>128</v>
      </c>
      <c r="P23" s="3"/>
      <c r="Q23" s="3"/>
      <c r="R23" s="3"/>
      <c r="S23" s="3">
        <v>115.88991508715142</v>
      </c>
      <c r="V23" t="s">
        <v>205</v>
      </c>
      <c r="W23">
        <v>1</v>
      </c>
      <c r="X23" t="s">
        <v>128</v>
      </c>
      <c r="Y23" s="3"/>
      <c r="Z23" s="3"/>
      <c r="AA23" s="3">
        <v>0</v>
      </c>
      <c r="AO23">
        <v>3</v>
      </c>
      <c r="AP23" t="s">
        <v>127</v>
      </c>
      <c r="AQ23" s="3"/>
      <c r="AR23" s="3"/>
      <c r="AS23" s="3"/>
      <c r="AT23" s="3">
        <v>10.263635000000001</v>
      </c>
      <c r="AW23" t="s">
        <v>148</v>
      </c>
      <c r="AX23" t="s">
        <v>183</v>
      </c>
      <c r="AY23">
        <v>12</v>
      </c>
      <c r="AZ23" t="s">
        <v>127</v>
      </c>
      <c r="BA23" s="3"/>
      <c r="BB23" s="3">
        <v>131.94959675000001</v>
      </c>
      <c r="BC23" s="3"/>
      <c r="BD23" s="3"/>
    </row>
    <row r="24" spans="2:56" x14ac:dyDescent="0.25">
      <c r="C24">
        <v>4</v>
      </c>
      <c r="D24" t="s">
        <v>128</v>
      </c>
      <c r="E24" s="3"/>
      <c r="F24" s="3"/>
      <c r="G24" s="3"/>
      <c r="H24" s="3">
        <v>0.23228783519999999</v>
      </c>
      <c r="N24">
        <v>3</v>
      </c>
      <c r="O24" t="s">
        <v>127</v>
      </c>
      <c r="P24" s="3"/>
      <c r="Q24" s="3"/>
      <c r="R24" s="3"/>
      <c r="S24" s="3">
        <v>212.17097699999999</v>
      </c>
      <c r="W24">
        <v>2</v>
      </c>
      <c r="X24" t="s">
        <v>128</v>
      </c>
      <c r="Y24" s="3"/>
      <c r="Z24" s="3"/>
      <c r="AA24" s="3">
        <v>0</v>
      </c>
      <c r="AP24" t="s">
        <v>128</v>
      </c>
      <c r="AQ24" s="3"/>
      <c r="AR24" s="3"/>
      <c r="AS24" s="3"/>
      <c r="AT24" s="3">
        <v>24.7000469928639</v>
      </c>
      <c r="AW24" t="s">
        <v>149</v>
      </c>
      <c r="AX24" t="s">
        <v>184</v>
      </c>
      <c r="AY24">
        <v>3</v>
      </c>
      <c r="AZ24" t="s">
        <v>127</v>
      </c>
      <c r="BA24" s="3"/>
      <c r="BB24" s="3"/>
      <c r="BC24" s="3"/>
      <c r="BD24" s="3">
        <v>0.4</v>
      </c>
    </row>
    <row r="25" spans="2:56" x14ac:dyDescent="0.25">
      <c r="C25">
        <v>5</v>
      </c>
      <c r="D25" t="s">
        <v>128</v>
      </c>
      <c r="E25" s="3"/>
      <c r="F25" s="3"/>
      <c r="G25" s="3"/>
      <c r="H25" s="3">
        <v>0.236139294</v>
      </c>
      <c r="O25" t="s">
        <v>128</v>
      </c>
      <c r="P25" s="3"/>
      <c r="Q25" s="3"/>
      <c r="R25" s="3"/>
      <c r="S25" s="3">
        <v>173.83487263072715</v>
      </c>
      <c r="W25">
        <v>3</v>
      </c>
      <c r="X25" t="s">
        <v>128</v>
      </c>
      <c r="Y25" s="3"/>
      <c r="Z25" s="3"/>
      <c r="AA25" s="3">
        <v>0</v>
      </c>
      <c r="AO25">
        <v>4</v>
      </c>
      <c r="AP25" t="s">
        <v>127</v>
      </c>
      <c r="AQ25" s="3"/>
      <c r="AR25" s="3"/>
      <c r="AS25" s="3"/>
      <c r="AT25" s="3">
        <v>15.520365</v>
      </c>
      <c r="AY25">
        <v>4</v>
      </c>
      <c r="AZ25" t="s">
        <v>127</v>
      </c>
      <c r="BA25" s="3"/>
      <c r="BB25" s="3"/>
      <c r="BC25" s="3"/>
      <c r="BD25" s="3">
        <v>2.4919229999999999</v>
      </c>
    </row>
    <row r="26" spans="2:56" x14ac:dyDescent="0.25">
      <c r="C26">
        <v>6</v>
      </c>
      <c r="D26" t="s">
        <v>128</v>
      </c>
      <c r="E26" s="3"/>
      <c r="F26" s="3"/>
      <c r="G26" s="3"/>
      <c r="H26" s="3">
        <v>0.23999075279999998</v>
      </c>
      <c r="N26">
        <v>4</v>
      </c>
      <c r="O26" t="s">
        <v>127</v>
      </c>
      <c r="P26" s="3"/>
      <c r="Q26" s="3"/>
      <c r="R26" s="3"/>
      <c r="S26" s="3">
        <v>252.21799899999999</v>
      </c>
      <c r="W26">
        <v>4</v>
      </c>
      <c r="X26" t="s">
        <v>128</v>
      </c>
      <c r="Y26" s="3"/>
      <c r="Z26" s="3"/>
      <c r="AA26" s="3">
        <v>0</v>
      </c>
      <c r="AP26" t="s">
        <v>128</v>
      </c>
      <c r="AQ26" s="3"/>
      <c r="AR26" s="3"/>
      <c r="AS26" s="3"/>
      <c r="AT26" s="3">
        <v>32.933395990485195</v>
      </c>
      <c r="AY26">
        <v>5</v>
      </c>
      <c r="AZ26" t="s">
        <v>127</v>
      </c>
      <c r="BA26" s="3"/>
      <c r="BB26" s="3"/>
      <c r="BC26" s="3"/>
      <c r="BD26" s="3">
        <v>2.4919229999999999</v>
      </c>
    </row>
    <row r="27" spans="2:56" x14ac:dyDescent="0.25">
      <c r="C27">
        <v>12</v>
      </c>
      <c r="D27" t="s">
        <v>127</v>
      </c>
      <c r="E27" s="3">
        <v>18.644916000000002</v>
      </c>
      <c r="F27" s="3">
        <v>-267.17289614999999</v>
      </c>
      <c r="G27" s="3">
        <v>7.7817039999999995</v>
      </c>
      <c r="H27" s="3"/>
      <c r="O27" t="s">
        <v>128</v>
      </c>
      <c r="P27" s="3"/>
      <c r="Q27" s="3"/>
      <c r="R27" s="3"/>
      <c r="S27" s="3">
        <v>231.77983050750285</v>
      </c>
      <c r="W27">
        <v>5</v>
      </c>
      <c r="X27" t="s">
        <v>128</v>
      </c>
      <c r="Y27" s="3"/>
      <c r="Z27" s="3"/>
      <c r="AA27" s="3">
        <v>0</v>
      </c>
      <c r="AO27">
        <v>5</v>
      </c>
      <c r="AP27" t="s">
        <v>127</v>
      </c>
      <c r="AQ27" s="3"/>
      <c r="AR27" s="3"/>
      <c r="AS27" s="3"/>
      <c r="AT27" s="3">
        <v>20.755749999999999</v>
      </c>
      <c r="AY27">
        <v>12</v>
      </c>
      <c r="AZ27" t="s">
        <v>127</v>
      </c>
      <c r="BA27" s="3"/>
      <c r="BB27" s="3">
        <v>44.598823000000003</v>
      </c>
      <c r="BC27" s="3">
        <v>5.7858900000000002</v>
      </c>
      <c r="BD27" s="3"/>
    </row>
    <row r="28" spans="2:56" x14ac:dyDescent="0.25">
      <c r="D28" t="s">
        <v>128</v>
      </c>
      <c r="E28" s="3"/>
      <c r="F28" s="3"/>
      <c r="G28" s="3"/>
      <c r="H28" s="3">
        <v>0.48</v>
      </c>
      <c r="N28">
        <v>5</v>
      </c>
      <c r="O28" t="s">
        <v>127</v>
      </c>
      <c r="P28" s="3"/>
      <c r="Q28" s="3"/>
      <c r="R28" s="3"/>
      <c r="S28" s="3">
        <v>326.27510599999999</v>
      </c>
      <c r="W28">
        <v>6</v>
      </c>
      <c r="X28" t="s">
        <v>128</v>
      </c>
      <c r="Y28" s="3"/>
      <c r="Z28" s="3"/>
      <c r="AA28" s="3">
        <v>0.115</v>
      </c>
      <c r="AP28" t="s">
        <v>128</v>
      </c>
      <c r="AQ28" s="3"/>
      <c r="AR28" s="3"/>
      <c r="AS28" s="3"/>
      <c r="AT28" s="3">
        <v>41.166744988106494</v>
      </c>
      <c r="AW28" t="s">
        <v>151</v>
      </c>
      <c r="AX28" t="s">
        <v>186</v>
      </c>
      <c r="AY28">
        <v>12</v>
      </c>
      <c r="AZ28" t="s">
        <v>127</v>
      </c>
      <c r="BA28" s="3">
        <v>5.6599999999999998E-2</v>
      </c>
      <c r="BB28" s="3">
        <v>0.17785000000000001</v>
      </c>
      <c r="BC28" s="3">
        <v>3.8800000000000001E-2</v>
      </c>
      <c r="BD28" s="3"/>
    </row>
    <row r="29" spans="2:56" x14ac:dyDescent="0.25">
      <c r="B29" t="s">
        <v>205</v>
      </c>
      <c r="C29">
        <v>12</v>
      </c>
      <c r="D29" t="s">
        <v>127</v>
      </c>
      <c r="E29" s="3">
        <v>1.6785000000000001E-2</v>
      </c>
      <c r="F29" s="3">
        <v>4.8286000000000003E-2</v>
      </c>
      <c r="G29" s="3">
        <v>1.0344000000000001E-2</v>
      </c>
      <c r="H29" s="3"/>
      <c r="O29" t="s">
        <v>128</v>
      </c>
      <c r="P29" s="3"/>
      <c r="Q29" s="3"/>
      <c r="R29" s="3"/>
      <c r="S29" s="3">
        <v>289.72478813507416</v>
      </c>
      <c r="W29">
        <v>12</v>
      </c>
      <c r="X29" t="s">
        <v>127</v>
      </c>
      <c r="Y29" s="3">
        <v>-0.49144500000000002</v>
      </c>
      <c r="Z29" s="3">
        <v>5.4744000000000001E-2</v>
      </c>
      <c r="AA29" s="3"/>
      <c r="AO29">
        <v>6</v>
      </c>
      <c r="AP29" t="s">
        <v>128</v>
      </c>
      <c r="AQ29" s="3"/>
      <c r="AR29" s="3"/>
      <c r="AS29" s="3"/>
      <c r="AT29" s="3">
        <v>49.4000939857278</v>
      </c>
      <c r="AW29" t="s">
        <v>152</v>
      </c>
      <c r="AX29" t="s">
        <v>187</v>
      </c>
      <c r="AY29">
        <v>1</v>
      </c>
      <c r="AZ29" t="s">
        <v>127</v>
      </c>
      <c r="BA29" s="3"/>
      <c r="BB29" s="3"/>
      <c r="BC29" s="3"/>
      <c r="BD29" s="3">
        <v>1.866808</v>
      </c>
    </row>
    <row r="30" spans="2:56" x14ac:dyDescent="0.25">
      <c r="B30" t="s">
        <v>113</v>
      </c>
      <c r="C30">
        <v>1</v>
      </c>
      <c r="D30" t="s">
        <v>128</v>
      </c>
      <c r="E30" s="3"/>
      <c r="F30" s="3"/>
      <c r="G30" s="3"/>
      <c r="H30" s="3">
        <v>118.54308323621328</v>
      </c>
      <c r="N30">
        <v>6</v>
      </c>
      <c r="O30" t="s">
        <v>128</v>
      </c>
      <c r="P30" s="3"/>
      <c r="Q30" s="3"/>
      <c r="R30" s="3"/>
      <c r="S30" s="3">
        <v>347.66974526214989</v>
      </c>
      <c r="X30" t="s">
        <v>128</v>
      </c>
      <c r="Y30" s="3"/>
      <c r="Z30" s="3"/>
      <c r="AA30" s="3">
        <v>0.28749999999999998</v>
      </c>
      <c r="AO30">
        <v>12</v>
      </c>
      <c r="AP30" t="s">
        <v>127</v>
      </c>
      <c r="AQ30" s="3">
        <v>97.25101500000001</v>
      </c>
      <c r="AR30" s="3">
        <v>107.206247</v>
      </c>
      <c r="AS30" s="3">
        <v>64.982902999999993</v>
      </c>
      <c r="AT30" s="3"/>
      <c r="AZ30" t="s">
        <v>128</v>
      </c>
      <c r="BA30" s="3"/>
      <c r="BB30" s="3"/>
      <c r="BC30" s="3"/>
      <c r="BD30" s="3">
        <v>1.8660610269</v>
      </c>
    </row>
    <row r="31" spans="2:56" x14ac:dyDescent="0.25">
      <c r="C31">
        <v>2</v>
      </c>
      <c r="D31" t="s">
        <v>127</v>
      </c>
      <c r="E31" s="3"/>
      <c r="F31" s="3"/>
      <c r="G31" s="3"/>
      <c r="H31" s="3">
        <v>172.866522</v>
      </c>
      <c r="N31">
        <v>12</v>
      </c>
      <c r="O31" t="s">
        <v>127</v>
      </c>
      <c r="P31" s="3">
        <v>1303.289297</v>
      </c>
      <c r="Q31" s="3">
        <v>1253.70706885</v>
      </c>
      <c r="R31" s="3">
        <v>1398.477241</v>
      </c>
      <c r="S31" s="3"/>
      <c r="V31" t="s">
        <v>113</v>
      </c>
      <c r="W31">
        <v>1</v>
      </c>
      <c r="X31" t="s">
        <v>128</v>
      </c>
      <c r="Y31" s="3"/>
      <c r="Z31" s="3"/>
      <c r="AA31" s="3">
        <v>14.3824456363</v>
      </c>
      <c r="AP31" t="s">
        <v>128</v>
      </c>
      <c r="AQ31" s="3"/>
      <c r="AR31" s="3"/>
      <c r="AS31" s="3"/>
      <c r="AT31" s="3">
        <v>100.007551861</v>
      </c>
      <c r="AY31">
        <v>2</v>
      </c>
      <c r="AZ31" t="s">
        <v>127</v>
      </c>
      <c r="BA31" s="3"/>
      <c r="BB31" s="3"/>
      <c r="BC31" s="3"/>
      <c r="BD31" s="3">
        <v>3.733616</v>
      </c>
    </row>
    <row r="32" spans="2:56" x14ac:dyDescent="0.25">
      <c r="D32" t="s">
        <v>128</v>
      </c>
      <c r="E32" s="3"/>
      <c r="F32" s="3"/>
      <c r="G32" s="3"/>
      <c r="H32" s="3">
        <v>236.52755297668381</v>
      </c>
      <c r="O32" t="s">
        <v>128</v>
      </c>
      <c r="P32" s="3"/>
      <c r="Q32" s="3"/>
      <c r="R32" s="3"/>
      <c r="S32" s="3">
        <v>695.61773799999992</v>
      </c>
      <c r="W32">
        <v>2</v>
      </c>
      <c r="X32" t="s">
        <v>128</v>
      </c>
      <c r="Y32" s="3"/>
      <c r="Z32" s="3"/>
      <c r="AA32" s="3">
        <v>28.7648912726</v>
      </c>
      <c r="AN32" t="s">
        <v>314</v>
      </c>
      <c r="AO32">
        <v>1</v>
      </c>
      <c r="AP32" t="s">
        <v>128</v>
      </c>
      <c r="AQ32" s="3"/>
      <c r="AR32" s="3"/>
      <c r="AS32" s="3"/>
      <c r="AT32" s="3">
        <v>0</v>
      </c>
      <c r="AZ32" t="s">
        <v>128</v>
      </c>
      <c r="BA32" s="3"/>
      <c r="BB32" s="3"/>
      <c r="BC32" s="3"/>
      <c r="BD32" s="3">
        <v>3.7343622230999998</v>
      </c>
    </row>
    <row r="33" spans="1:56" x14ac:dyDescent="0.25">
      <c r="C33">
        <v>3</v>
      </c>
      <c r="D33" t="s">
        <v>127</v>
      </c>
      <c r="E33" s="3"/>
      <c r="F33" s="3"/>
      <c r="G33" s="3"/>
      <c r="H33" s="3">
        <v>281.08281099999999</v>
      </c>
      <c r="L33" t="s">
        <v>146</v>
      </c>
      <c r="M33" t="s">
        <v>181</v>
      </c>
      <c r="N33">
        <v>12</v>
      </c>
      <c r="O33" t="s">
        <v>127</v>
      </c>
      <c r="P33" s="3">
        <v>18.539400000000001</v>
      </c>
      <c r="Q33" s="3">
        <v>1.5249999999999999</v>
      </c>
      <c r="R33" s="3">
        <v>7.7371119999999998</v>
      </c>
      <c r="S33" s="3"/>
      <c r="W33">
        <v>3</v>
      </c>
      <c r="X33" t="s">
        <v>128</v>
      </c>
      <c r="Y33" s="3"/>
      <c r="Z33" s="3"/>
      <c r="AA33" s="3">
        <v>43.147336908900002</v>
      </c>
      <c r="AO33">
        <v>2</v>
      </c>
      <c r="AP33" t="s">
        <v>128</v>
      </c>
      <c r="AQ33" s="3"/>
      <c r="AR33" s="3"/>
      <c r="AS33" s="3"/>
      <c r="AT33" s="3">
        <v>0</v>
      </c>
      <c r="AY33">
        <v>3</v>
      </c>
      <c r="AZ33" t="s">
        <v>127</v>
      </c>
      <c r="BA33" s="3"/>
      <c r="BB33" s="3"/>
      <c r="BC33" s="3"/>
      <c r="BD33" s="3">
        <v>5.6004240000000003</v>
      </c>
    </row>
    <row r="34" spans="1:56" x14ac:dyDescent="0.25">
      <c r="D34" t="s">
        <v>128</v>
      </c>
      <c r="E34" s="3"/>
      <c r="F34" s="3"/>
      <c r="G34" s="3"/>
      <c r="H34" s="3">
        <v>354.50952748462748</v>
      </c>
      <c r="L34" t="s">
        <v>148</v>
      </c>
      <c r="M34" t="s">
        <v>183</v>
      </c>
      <c r="N34">
        <v>12</v>
      </c>
      <c r="O34" t="s">
        <v>127</v>
      </c>
      <c r="P34" s="3"/>
      <c r="Q34" s="3">
        <v>-268.91938114999999</v>
      </c>
      <c r="R34" s="3"/>
      <c r="S34" s="3"/>
      <c r="W34">
        <v>4</v>
      </c>
      <c r="X34" t="s">
        <v>128</v>
      </c>
      <c r="Y34" s="3"/>
      <c r="Z34" s="3"/>
      <c r="AA34" s="3">
        <v>57.5297825452</v>
      </c>
      <c r="AO34">
        <v>3</v>
      </c>
      <c r="AP34" t="s">
        <v>128</v>
      </c>
      <c r="AQ34" s="3"/>
      <c r="AR34" s="3"/>
      <c r="AS34" s="3"/>
      <c r="AT34" s="3">
        <v>0</v>
      </c>
      <c r="AZ34" t="s">
        <v>128</v>
      </c>
      <c r="BA34" s="3"/>
      <c r="BB34" s="3"/>
      <c r="BC34" s="3"/>
      <c r="BD34" s="3">
        <v>5.6004232500000004</v>
      </c>
    </row>
    <row r="35" spans="1:56" x14ac:dyDescent="0.25">
      <c r="C35">
        <v>4</v>
      </c>
      <c r="D35" t="s">
        <v>127</v>
      </c>
      <c r="E35" s="3"/>
      <c r="F35" s="3"/>
      <c r="G35" s="3"/>
      <c r="H35" s="3">
        <v>384.64411200000001</v>
      </c>
      <c r="L35" t="s">
        <v>250</v>
      </c>
      <c r="M35" t="s">
        <v>358</v>
      </c>
      <c r="N35">
        <v>1</v>
      </c>
      <c r="O35" t="s">
        <v>128</v>
      </c>
      <c r="P35" s="3"/>
      <c r="Q35" s="3"/>
      <c r="R35" s="3"/>
      <c r="S35" s="3">
        <v>3.8514588000000002E-3</v>
      </c>
      <c r="W35">
        <v>5</v>
      </c>
      <c r="X35" t="s">
        <v>128</v>
      </c>
      <c r="Y35" s="3"/>
      <c r="Z35" s="3"/>
      <c r="AA35" s="3">
        <v>71.912228181499998</v>
      </c>
      <c r="AO35">
        <v>4</v>
      </c>
      <c r="AP35" t="s">
        <v>128</v>
      </c>
      <c r="AQ35" s="3"/>
      <c r="AR35" s="3"/>
      <c r="AS35" s="3"/>
      <c r="AT35" s="3">
        <v>0</v>
      </c>
      <c r="AY35">
        <v>4</v>
      </c>
      <c r="AZ35" t="s">
        <v>127</v>
      </c>
      <c r="BA35" s="3"/>
      <c r="BB35" s="3"/>
      <c r="BC35" s="3"/>
      <c r="BD35" s="3">
        <v>7.4672320000000001</v>
      </c>
    </row>
    <row r="36" spans="1:56" x14ac:dyDescent="0.25">
      <c r="D36" t="s">
        <v>128</v>
      </c>
      <c r="E36" s="3"/>
      <c r="F36" s="3"/>
      <c r="G36" s="3"/>
      <c r="H36" s="3">
        <v>472.46460732019352</v>
      </c>
      <c r="N36">
        <v>2</v>
      </c>
      <c r="O36" t="s">
        <v>128</v>
      </c>
      <c r="P36" s="3"/>
      <c r="Q36" s="3"/>
      <c r="R36" s="3"/>
      <c r="S36" s="3">
        <v>7.7029176000000003E-3</v>
      </c>
      <c r="W36">
        <v>6</v>
      </c>
      <c r="X36" t="s">
        <v>128</v>
      </c>
      <c r="Y36" s="3"/>
      <c r="Z36" s="3"/>
      <c r="AA36" s="3">
        <v>86.294673817800003</v>
      </c>
      <c r="AO36">
        <v>5</v>
      </c>
      <c r="AP36" t="s">
        <v>128</v>
      </c>
      <c r="AQ36" s="3"/>
      <c r="AR36" s="3"/>
      <c r="AS36" s="3"/>
      <c r="AT36" s="3">
        <v>0</v>
      </c>
      <c r="AZ36" t="s">
        <v>128</v>
      </c>
      <c r="BA36" s="3"/>
      <c r="BB36" s="3"/>
      <c r="BC36" s="3"/>
      <c r="BD36" s="3">
        <v>7.4664842769000002</v>
      </c>
    </row>
    <row r="37" spans="1:56" x14ac:dyDescent="0.25">
      <c r="C37">
        <v>5</v>
      </c>
      <c r="D37" t="s">
        <v>127</v>
      </c>
      <c r="E37" s="3"/>
      <c r="F37" s="3"/>
      <c r="G37" s="3"/>
      <c r="H37" s="3">
        <v>491.63384299999996</v>
      </c>
      <c r="N37">
        <v>3</v>
      </c>
      <c r="O37" t="s">
        <v>128</v>
      </c>
      <c r="P37" s="3"/>
      <c r="Q37" s="3"/>
      <c r="R37" s="3"/>
      <c r="S37" s="3">
        <v>1.15543764E-2</v>
      </c>
      <c r="W37">
        <v>12</v>
      </c>
      <c r="X37" t="s">
        <v>128</v>
      </c>
      <c r="Y37" s="3"/>
      <c r="Z37" s="3"/>
      <c r="AA37" s="3">
        <v>172.658411</v>
      </c>
      <c r="AO37">
        <v>6</v>
      </c>
      <c r="AP37" t="s">
        <v>128</v>
      </c>
      <c r="AQ37" s="3"/>
      <c r="AR37" s="3"/>
      <c r="AS37" s="3"/>
      <c r="AT37" s="3">
        <v>0</v>
      </c>
      <c r="AY37">
        <v>5</v>
      </c>
      <c r="AZ37" t="s">
        <v>127</v>
      </c>
      <c r="BA37" s="3"/>
      <c r="BB37" s="3"/>
      <c r="BC37" s="3"/>
      <c r="BD37" s="3">
        <v>9.3340399999999999</v>
      </c>
    </row>
    <row r="38" spans="1:56" x14ac:dyDescent="0.25">
      <c r="D38" t="s">
        <v>128</v>
      </c>
      <c r="E38" s="3"/>
      <c r="F38" s="3"/>
      <c r="G38" s="3"/>
      <c r="H38" s="3">
        <v>590.42597696193684</v>
      </c>
      <c r="N38">
        <v>4</v>
      </c>
      <c r="O38" t="s">
        <v>128</v>
      </c>
      <c r="P38" s="3"/>
      <c r="Q38" s="3"/>
      <c r="R38" s="3"/>
      <c r="S38" s="3">
        <v>1.5405835200000001E-2</v>
      </c>
      <c r="V38" t="s">
        <v>114</v>
      </c>
      <c r="W38">
        <v>12</v>
      </c>
      <c r="X38" t="s">
        <v>127</v>
      </c>
      <c r="Y38" s="3"/>
      <c r="Z38" s="3">
        <v>2.1</v>
      </c>
      <c r="AA38" s="3"/>
      <c r="AO38">
        <v>12</v>
      </c>
      <c r="AP38" t="s">
        <v>127</v>
      </c>
      <c r="AQ38" s="3">
        <v>6.6148060000000006</v>
      </c>
      <c r="AR38" s="3">
        <v>16.381014</v>
      </c>
      <c r="AS38" s="3"/>
      <c r="AT38" s="3"/>
      <c r="AZ38" t="s">
        <v>128</v>
      </c>
      <c r="BA38" s="3"/>
      <c r="BB38" s="3"/>
      <c r="BC38" s="3"/>
      <c r="BD38" s="3">
        <v>9.3347854731000002</v>
      </c>
    </row>
    <row r="39" spans="1:56" x14ac:dyDescent="0.25">
      <c r="C39">
        <v>6</v>
      </c>
      <c r="D39" t="s">
        <v>128</v>
      </c>
      <c r="E39" s="3"/>
      <c r="F39" s="3"/>
      <c r="G39" s="3"/>
      <c r="H39" s="3">
        <v>711.18489103038416</v>
      </c>
      <c r="N39">
        <v>5</v>
      </c>
      <c r="O39" t="s">
        <v>128</v>
      </c>
      <c r="P39" s="3"/>
      <c r="Q39" s="3"/>
      <c r="R39" s="3"/>
      <c r="S39" s="3">
        <v>1.9257294000000001E-2</v>
      </c>
      <c r="U39" t="s">
        <v>438</v>
      </c>
      <c r="V39" t="s">
        <v>108</v>
      </c>
      <c r="W39">
        <v>1</v>
      </c>
      <c r="X39" t="s">
        <v>128</v>
      </c>
      <c r="Y39" s="3"/>
      <c r="Z39" s="3"/>
      <c r="AA39" s="3">
        <v>0</v>
      </c>
      <c r="AP39" t="s">
        <v>128</v>
      </c>
      <c r="AQ39" s="3"/>
      <c r="AR39" s="3"/>
      <c r="AS39" s="3"/>
      <c r="AT39" s="3">
        <v>0</v>
      </c>
      <c r="AY39">
        <v>6</v>
      </c>
      <c r="AZ39" t="s">
        <v>128</v>
      </c>
      <c r="BA39" s="3"/>
      <c r="BB39" s="3"/>
      <c r="BC39" s="3"/>
      <c r="BD39" s="3">
        <v>11.200846500000001</v>
      </c>
    </row>
    <row r="40" spans="1:56" x14ac:dyDescent="0.25">
      <c r="C40">
        <v>12</v>
      </c>
      <c r="D40" t="s">
        <v>127</v>
      </c>
      <c r="E40" s="3">
        <v>2334.5261120000005</v>
      </c>
      <c r="F40" s="3">
        <v>2156.6600598499999</v>
      </c>
      <c r="G40" s="3">
        <v>1964.8471619999998</v>
      </c>
      <c r="H40" s="3"/>
      <c r="N40">
        <v>6</v>
      </c>
      <c r="O40" t="s">
        <v>128</v>
      </c>
      <c r="P40" s="3"/>
      <c r="Q40" s="3"/>
      <c r="R40" s="3"/>
      <c r="S40" s="3">
        <v>2.31087528E-2</v>
      </c>
      <c r="W40">
        <v>2</v>
      </c>
      <c r="X40" t="s">
        <v>128</v>
      </c>
      <c r="Y40" s="3"/>
      <c r="Z40" s="3"/>
      <c r="AA40" s="3">
        <v>0</v>
      </c>
      <c r="AN40" t="s">
        <v>107</v>
      </c>
      <c r="AO40">
        <v>1</v>
      </c>
      <c r="AP40" t="s">
        <v>127</v>
      </c>
      <c r="AQ40" s="3"/>
      <c r="AR40" s="3"/>
      <c r="AS40" s="3"/>
      <c r="AT40" s="3">
        <v>9.9999999999999995E-7</v>
      </c>
      <c r="AY40">
        <v>12</v>
      </c>
      <c r="AZ40" t="s">
        <v>127</v>
      </c>
      <c r="BA40" s="3">
        <v>27.398184000000001</v>
      </c>
      <c r="BB40" s="3">
        <v>28.096630999999999</v>
      </c>
      <c r="BC40" s="3">
        <v>24.619105999999999</v>
      </c>
      <c r="BD40" s="3"/>
    </row>
    <row r="41" spans="1:56" x14ac:dyDescent="0.25">
      <c r="D41" t="s">
        <v>128</v>
      </c>
      <c r="E41" s="3"/>
      <c r="F41" s="3"/>
      <c r="G41" s="3"/>
      <c r="H41" s="3">
        <v>1422.3092137896499</v>
      </c>
      <c r="N41">
        <v>12</v>
      </c>
      <c r="O41" t="s">
        <v>128</v>
      </c>
      <c r="P41" s="3"/>
      <c r="Q41" s="3"/>
      <c r="R41" s="3"/>
      <c r="S41" s="3">
        <v>4.6235999999999999E-2</v>
      </c>
      <c r="W41">
        <v>3</v>
      </c>
      <c r="X41" t="s">
        <v>128</v>
      </c>
      <c r="Y41" s="3"/>
      <c r="Z41" s="3"/>
      <c r="AA41" s="3">
        <v>0.13</v>
      </c>
      <c r="AO41">
        <v>2</v>
      </c>
      <c r="AP41" t="s">
        <v>127</v>
      </c>
      <c r="AQ41" s="3"/>
      <c r="AR41" s="3"/>
      <c r="AS41" s="3"/>
      <c r="AT41" s="3">
        <v>9.9999999999999995E-7</v>
      </c>
      <c r="AZ41" t="s">
        <v>128</v>
      </c>
      <c r="BA41" s="3"/>
      <c r="BB41" s="3"/>
      <c r="BC41" s="3"/>
      <c r="BD41" s="3">
        <v>22.401693000000002</v>
      </c>
    </row>
    <row r="42" spans="1:56" x14ac:dyDescent="0.25">
      <c r="B42" t="s">
        <v>114</v>
      </c>
      <c r="C42">
        <v>12</v>
      </c>
      <c r="D42" t="s">
        <v>127</v>
      </c>
      <c r="E42" s="3">
        <v>1.1630370000000001</v>
      </c>
      <c r="F42" s="3"/>
      <c r="G42" s="3"/>
      <c r="H42" s="3"/>
      <c r="L42" t="s">
        <v>157</v>
      </c>
      <c r="M42" t="s">
        <v>192</v>
      </c>
      <c r="N42">
        <v>1</v>
      </c>
      <c r="O42" t="s">
        <v>128</v>
      </c>
      <c r="P42" s="3"/>
      <c r="Q42" s="3"/>
      <c r="R42" s="3"/>
      <c r="S42" s="3">
        <v>0</v>
      </c>
      <c r="W42">
        <v>4</v>
      </c>
      <c r="X42" t="s">
        <v>128</v>
      </c>
      <c r="Y42" s="3"/>
      <c r="Z42" s="3"/>
      <c r="AA42" s="3">
        <v>0.13</v>
      </c>
      <c r="AO42">
        <v>3</v>
      </c>
      <c r="AP42" t="s">
        <v>127</v>
      </c>
      <c r="AQ42" s="3"/>
      <c r="AR42" s="3"/>
      <c r="AS42" s="3"/>
      <c r="AT42" s="3">
        <v>9.9999999999999995E-7</v>
      </c>
      <c r="AW42" t="s">
        <v>153</v>
      </c>
      <c r="AX42" t="s">
        <v>188</v>
      </c>
      <c r="AY42">
        <v>1</v>
      </c>
      <c r="AZ42" t="s">
        <v>128</v>
      </c>
      <c r="BA42" s="3"/>
      <c r="BB42" s="3"/>
      <c r="BC42" s="3"/>
      <c r="BD42" s="3">
        <v>0.28735850000000002</v>
      </c>
    </row>
    <row r="43" spans="1:56" x14ac:dyDescent="0.25">
      <c r="B43" t="s">
        <v>121</v>
      </c>
      <c r="C43">
        <v>12</v>
      </c>
      <c r="D43" t="s">
        <v>127</v>
      </c>
      <c r="E43" s="3">
        <v>0.63974400000000009</v>
      </c>
      <c r="F43" s="3">
        <v>4.2293240000000001</v>
      </c>
      <c r="G43" s="3">
        <v>1.4863999999999999</v>
      </c>
      <c r="H43" s="3"/>
      <c r="N43">
        <v>2</v>
      </c>
      <c r="O43" t="s">
        <v>128</v>
      </c>
      <c r="P43" s="3"/>
      <c r="Q43" s="3"/>
      <c r="R43" s="3"/>
      <c r="S43" s="3">
        <v>0.108441</v>
      </c>
      <c r="W43">
        <v>5</v>
      </c>
      <c r="X43" t="s">
        <v>128</v>
      </c>
      <c r="Y43" s="3"/>
      <c r="Z43" s="3"/>
      <c r="AA43" s="3">
        <v>0.13</v>
      </c>
      <c r="AO43">
        <v>4</v>
      </c>
      <c r="AP43" t="s">
        <v>127</v>
      </c>
      <c r="AQ43" s="3"/>
      <c r="AR43" s="3"/>
      <c r="AS43" s="3"/>
      <c r="AT43" s="3">
        <v>7.4645500000000004E-2</v>
      </c>
      <c r="AY43">
        <v>2</v>
      </c>
      <c r="AZ43" t="s">
        <v>128</v>
      </c>
      <c r="BA43" s="3"/>
      <c r="BB43" s="3"/>
      <c r="BC43" s="3"/>
      <c r="BD43" s="3">
        <v>4.9373414999999996</v>
      </c>
    </row>
    <row r="44" spans="1:56" x14ac:dyDescent="0.25">
      <c r="A44" t="s">
        <v>34</v>
      </c>
      <c r="B44" t="s">
        <v>106</v>
      </c>
      <c r="C44">
        <v>12</v>
      </c>
      <c r="D44" t="s">
        <v>127</v>
      </c>
      <c r="E44" s="3"/>
      <c r="F44" s="3">
        <v>3.85</v>
      </c>
      <c r="G44" s="3">
        <v>154.034524</v>
      </c>
      <c r="H44" s="3"/>
      <c r="N44">
        <v>3</v>
      </c>
      <c r="O44" t="s">
        <v>128</v>
      </c>
      <c r="P44" s="3"/>
      <c r="Q44" s="3"/>
      <c r="R44" s="3"/>
      <c r="S44" s="3">
        <v>0.108441</v>
      </c>
      <c r="W44">
        <v>6</v>
      </c>
      <c r="X44" t="s">
        <v>128</v>
      </c>
      <c r="Y44" s="3"/>
      <c r="Z44" s="3"/>
      <c r="AA44" s="3">
        <v>0.26</v>
      </c>
      <c r="AO44">
        <v>5</v>
      </c>
      <c r="AP44" t="s">
        <v>127</v>
      </c>
      <c r="AQ44" s="3"/>
      <c r="AR44" s="3"/>
      <c r="AS44" s="3"/>
      <c r="AT44" s="3">
        <v>8.8969580000000006E-2</v>
      </c>
      <c r="AY44">
        <v>3</v>
      </c>
      <c r="AZ44" t="s">
        <v>128</v>
      </c>
      <c r="BA44" s="3"/>
      <c r="BB44" s="3"/>
      <c r="BC44" s="3"/>
      <c r="BD44" s="3">
        <v>4.9373414999999996</v>
      </c>
    </row>
    <row r="45" spans="1:56" x14ac:dyDescent="0.25">
      <c r="B45" t="s">
        <v>108</v>
      </c>
      <c r="C45">
        <v>12</v>
      </c>
      <c r="D45" t="s">
        <v>127</v>
      </c>
      <c r="E45" s="3"/>
      <c r="F45" s="3">
        <v>5.9499999999999997E-2</v>
      </c>
      <c r="G45" s="3"/>
      <c r="H45" s="3"/>
      <c r="N45">
        <v>4</v>
      </c>
      <c r="O45" t="s">
        <v>128</v>
      </c>
      <c r="P45" s="3"/>
      <c r="Q45" s="3"/>
      <c r="R45" s="3"/>
      <c r="S45" s="3">
        <v>0.21688199999999999</v>
      </c>
      <c r="W45">
        <v>12</v>
      </c>
      <c r="X45" t="s">
        <v>128</v>
      </c>
      <c r="Y45" s="3"/>
      <c r="Z45" s="3"/>
      <c r="AA45" s="3">
        <v>0.52</v>
      </c>
      <c r="AO45">
        <v>12</v>
      </c>
      <c r="AP45" t="s">
        <v>127</v>
      </c>
      <c r="AQ45" s="3">
        <v>1.2326744199999999</v>
      </c>
      <c r="AR45" s="3">
        <v>8.9008130000000005E-2</v>
      </c>
      <c r="AS45" s="3">
        <v>0.56512209000000002</v>
      </c>
      <c r="AT45" s="3"/>
      <c r="AY45">
        <v>4</v>
      </c>
      <c r="AZ45" t="s">
        <v>128</v>
      </c>
      <c r="BA45" s="3"/>
      <c r="BB45" s="3"/>
      <c r="BC45" s="3"/>
      <c r="BD45" s="3">
        <v>4.9373414999999996</v>
      </c>
    </row>
    <row r="46" spans="1:56" x14ac:dyDescent="0.25">
      <c r="B46" t="s">
        <v>109</v>
      </c>
      <c r="C46">
        <v>1</v>
      </c>
      <c r="D46" t="s">
        <v>128</v>
      </c>
      <c r="E46" s="3"/>
      <c r="F46" s="3"/>
      <c r="G46" s="3"/>
      <c r="H46" s="3">
        <v>66.823995538999981</v>
      </c>
      <c r="N46">
        <v>5</v>
      </c>
      <c r="O46" t="s">
        <v>128</v>
      </c>
      <c r="P46" s="3"/>
      <c r="Q46" s="3"/>
      <c r="R46" s="3"/>
      <c r="S46" s="3">
        <v>0.21688199999999999</v>
      </c>
      <c r="V46" t="s">
        <v>109</v>
      </c>
      <c r="W46">
        <v>1</v>
      </c>
      <c r="X46" t="s">
        <v>128</v>
      </c>
      <c r="Y46" s="3"/>
      <c r="Z46" s="3"/>
      <c r="AA46" s="3">
        <v>10.3776888467</v>
      </c>
      <c r="AN46" t="s">
        <v>108</v>
      </c>
      <c r="AO46">
        <v>1</v>
      </c>
      <c r="AP46" t="s">
        <v>128</v>
      </c>
      <c r="AQ46" s="3"/>
      <c r="AR46" s="3"/>
      <c r="AS46" s="3"/>
      <c r="AT46" s="3">
        <v>2.0174451743999997</v>
      </c>
      <c r="AY46">
        <v>5</v>
      </c>
      <c r="AZ46" t="s">
        <v>128</v>
      </c>
      <c r="BA46" s="3"/>
      <c r="BB46" s="3"/>
      <c r="BC46" s="3"/>
      <c r="BD46" s="3">
        <v>4.9373414999999996</v>
      </c>
    </row>
    <row r="47" spans="1:56" x14ac:dyDescent="0.25">
      <c r="C47">
        <v>2</v>
      </c>
      <c r="D47" t="s">
        <v>127</v>
      </c>
      <c r="E47" s="3"/>
      <c r="F47" s="3"/>
      <c r="G47" s="3"/>
      <c r="H47" s="3">
        <v>141.953247</v>
      </c>
      <c r="N47">
        <v>6</v>
      </c>
      <c r="O47" t="s">
        <v>128</v>
      </c>
      <c r="P47" s="3"/>
      <c r="Q47" s="3"/>
      <c r="R47" s="3"/>
      <c r="S47" s="3">
        <v>0.21688199999999999</v>
      </c>
      <c r="W47">
        <v>2</v>
      </c>
      <c r="X47" t="s">
        <v>127</v>
      </c>
      <c r="Y47" s="3"/>
      <c r="Z47" s="3"/>
      <c r="AA47" s="3">
        <v>20.473704999999999</v>
      </c>
      <c r="AO47">
        <v>2</v>
      </c>
      <c r="AP47" t="s">
        <v>128</v>
      </c>
      <c r="AQ47" s="3"/>
      <c r="AR47" s="3"/>
      <c r="AS47" s="3"/>
      <c r="AT47" s="3">
        <v>2.0174451743999997</v>
      </c>
      <c r="AY47">
        <v>6</v>
      </c>
      <c r="AZ47" t="s">
        <v>128</v>
      </c>
      <c r="BA47" s="3"/>
      <c r="BB47" s="3"/>
      <c r="BC47" s="3"/>
      <c r="BD47" s="3">
        <v>4.9373414999999996</v>
      </c>
    </row>
    <row r="48" spans="1:56" x14ac:dyDescent="0.25">
      <c r="D48" t="s">
        <v>128</v>
      </c>
      <c r="E48" s="3"/>
      <c r="F48" s="3"/>
      <c r="G48" s="3"/>
      <c r="H48" s="3">
        <v>133.728211961</v>
      </c>
      <c r="N48">
        <v>12</v>
      </c>
      <c r="O48" t="s">
        <v>128</v>
      </c>
      <c r="P48" s="3"/>
      <c r="Q48" s="3"/>
      <c r="R48" s="3"/>
      <c r="S48" s="3">
        <v>0.43376399999999998</v>
      </c>
      <c r="X48" t="s">
        <v>128</v>
      </c>
      <c r="Y48" s="3"/>
      <c r="Z48" s="3"/>
      <c r="AA48" s="3">
        <v>20.767835903299996</v>
      </c>
      <c r="AO48">
        <v>3</v>
      </c>
      <c r="AP48" t="s">
        <v>128</v>
      </c>
      <c r="AQ48" s="3"/>
      <c r="AR48" s="3"/>
      <c r="AS48" s="3"/>
      <c r="AT48" s="3">
        <v>2.7357134999999992</v>
      </c>
      <c r="AY48">
        <v>12</v>
      </c>
      <c r="AZ48" t="s">
        <v>127</v>
      </c>
      <c r="BA48" s="3">
        <v>165.35659999999999</v>
      </c>
      <c r="BB48" s="3">
        <v>0.40960000000000002</v>
      </c>
      <c r="BC48" s="3">
        <v>0.28671099999999999</v>
      </c>
      <c r="BD48" s="3"/>
    </row>
    <row r="49" spans="1:56" x14ac:dyDescent="0.25">
      <c r="C49">
        <v>3</v>
      </c>
      <c r="D49" t="s">
        <v>127</v>
      </c>
      <c r="E49" s="3"/>
      <c r="F49" s="3"/>
      <c r="G49" s="3"/>
      <c r="H49" s="3">
        <v>215.90249900000001</v>
      </c>
      <c r="L49" t="s">
        <v>160</v>
      </c>
      <c r="M49" t="s">
        <v>195</v>
      </c>
      <c r="N49">
        <v>12</v>
      </c>
      <c r="O49" t="s">
        <v>127</v>
      </c>
      <c r="P49" s="3">
        <v>0.105516</v>
      </c>
      <c r="Q49" s="3">
        <v>0.22148499999999999</v>
      </c>
      <c r="R49" s="3">
        <v>4.4592E-2</v>
      </c>
      <c r="S49" s="3"/>
      <c r="W49">
        <v>3</v>
      </c>
      <c r="X49" t="s">
        <v>127</v>
      </c>
      <c r="Y49" s="3"/>
      <c r="Z49" s="3"/>
      <c r="AA49" s="3">
        <v>31.253602000000001</v>
      </c>
      <c r="AO49">
        <v>4</v>
      </c>
      <c r="AP49" t="s">
        <v>128</v>
      </c>
      <c r="AQ49" s="3"/>
      <c r="AR49" s="3"/>
      <c r="AS49" s="3"/>
      <c r="AT49" s="3">
        <v>2.7357134999999992</v>
      </c>
      <c r="AZ49" t="s">
        <v>128</v>
      </c>
      <c r="BA49" s="3"/>
      <c r="BB49" s="3"/>
      <c r="BC49" s="3"/>
      <c r="BD49" s="3">
        <v>10.047499999999999</v>
      </c>
    </row>
    <row r="50" spans="1:56" x14ac:dyDescent="0.25">
      <c r="D50" t="s">
        <v>128</v>
      </c>
      <c r="E50" s="3"/>
      <c r="F50" s="3"/>
      <c r="G50" s="3"/>
      <c r="H50" s="3">
        <v>200.55220749999998</v>
      </c>
      <c r="K50" t="s">
        <v>34</v>
      </c>
      <c r="L50" t="s">
        <v>132</v>
      </c>
      <c r="M50" t="s">
        <v>167</v>
      </c>
      <c r="N50">
        <v>12</v>
      </c>
      <c r="O50" t="s">
        <v>127</v>
      </c>
      <c r="P50" s="3">
        <v>9.36</v>
      </c>
      <c r="Q50" s="3"/>
      <c r="R50" s="3">
        <v>0.63767600000000002</v>
      </c>
      <c r="S50" s="3"/>
      <c r="X50" t="s">
        <v>128</v>
      </c>
      <c r="Y50" s="3"/>
      <c r="Z50" s="3"/>
      <c r="AA50" s="3">
        <v>31.14552475</v>
      </c>
      <c r="AO50">
        <v>5</v>
      </c>
      <c r="AP50" t="s">
        <v>128</v>
      </c>
      <c r="AQ50" s="3"/>
      <c r="AR50" s="3"/>
      <c r="AS50" s="3"/>
      <c r="AT50" s="3">
        <v>2.7357134999999992</v>
      </c>
      <c r="AW50" t="s">
        <v>154</v>
      </c>
      <c r="AX50" t="s">
        <v>189</v>
      </c>
      <c r="AY50">
        <v>1</v>
      </c>
      <c r="AZ50" t="s">
        <v>127</v>
      </c>
      <c r="BA50" s="3"/>
      <c r="BB50" s="3"/>
      <c r="BC50" s="3"/>
      <c r="BD50" s="3">
        <v>1.572438</v>
      </c>
    </row>
    <row r="51" spans="1:56" x14ac:dyDescent="0.25">
      <c r="C51">
        <v>4</v>
      </c>
      <c r="D51" t="s">
        <v>127</v>
      </c>
      <c r="E51" s="3"/>
      <c r="F51" s="3"/>
      <c r="G51" s="3"/>
      <c r="H51" s="3">
        <v>261.36799500000001</v>
      </c>
      <c r="L51" t="s">
        <v>133</v>
      </c>
      <c r="M51" t="s">
        <v>168</v>
      </c>
      <c r="N51">
        <v>12</v>
      </c>
      <c r="O51" t="s">
        <v>127</v>
      </c>
      <c r="P51" s="3"/>
      <c r="Q51" s="3">
        <v>15.35</v>
      </c>
      <c r="R51" s="3">
        <v>24</v>
      </c>
      <c r="S51" s="3"/>
      <c r="W51">
        <v>4</v>
      </c>
      <c r="X51" t="s">
        <v>127</v>
      </c>
      <c r="Y51" s="3"/>
      <c r="Z51" s="3"/>
      <c r="AA51" s="3">
        <v>38.257562</v>
      </c>
      <c r="AO51">
        <v>6</v>
      </c>
      <c r="AP51" t="s">
        <v>128</v>
      </c>
      <c r="AQ51" s="3"/>
      <c r="AR51" s="3"/>
      <c r="AS51" s="3"/>
      <c r="AT51" s="3">
        <v>2.7357134999999992</v>
      </c>
      <c r="AZ51" t="s">
        <v>128</v>
      </c>
      <c r="BA51" s="3"/>
      <c r="BB51" s="3"/>
      <c r="BC51" s="3"/>
      <c r="BD51" s="3">
        <v>1.5718093580000001</v>
      </c>
    </row>
    <row r="52" spans="1:56" x14ac:dyDescent="0.25">
      <c r="D52" t="s">
        <v>128</v>
      </c>
      <c r="E52" s="3"/>
      <c r="F52" s="3"/>
      <c r="G52" s="3"/>
      <c r="H52" s="3">
        <v>274.8341489758489</v>
      </c>
      <c r="L52" t="s">
        <v>146</v>
      </c>
      <c r="M52" t="s">
        <v>181</v>
      </c>
      <c r="N52">
        <v>12</v>
      </c>
      <c r="O52" t="s">
        <v>127</v>
      </c>
      <c r="P52" s="3">
        <v>0.11</v>
      </c>
      <c r="Q52" s="3"/>
      <c r="R52" s="3"/>
      <c r="S52" s="3"/>
      <c r="X52" t="s">
        <v>128</v>
      </c>
      <c r="Y52" s="3"/>
      <c r="Z52" s="3"/>
      <c r="AA52" s="3">
        <v>44.02116990775724</v>
      </c>
      <c r="AO52">
        <v>12</v>
      </c>
      <c r="AP52" t="s">
        <v>127</v>
      </c>
      <c r="AQ52" s="3">
        <v>3.4213070000000001</v>
      </c>
      <c r="AR52" s="3">
        <v>22.029916999999998</v>
      </c>
      <c r="AS52" s="3">
        <v>0.64702333999999995</v>
      </c>
      <c r="AT52" s="3"/>
      <c r="AY52">
        <v>2</v>
      </c>
      <c r="AZ52" t="s">
        <v>127</v>
      </c>
      <c r="BA52" s="3"/>
      <c r="BB52" s="3"/>
      <c r="BC52" s="3"/>
      <c r="BD52" s="3">
        <v>3.144876</v>
      </c>
    </row>
    <row r="53" spans="1:56" x14ac:dyDescent="0.25">
      <c r="C53">
        <v>5</v>
      </c>
      <c r="D53" t="s">
        <v>127</v>
      </c>
      <c r="E53" s="3"/>
      <c r="F53" s="3"/>
      <c r="G53" s="3"/>
      <c r="H53" s="3">
        <v>335.49453799999998</v>
      </c>
      <c r="L53" t="s">
        <v>148</v>
      </c>
      <c r="M53" t="s">
        <v>183</v>
      </c>
      <c r="N53">
        <v>12</v>
      </c>
      <c r="O53" t="s">
        <v>127</v>
      </c>
      <c r="P53" s="3"/>
      <c r="Q53" s="3">
        <v>19.913437999999999</v>
      </c>
      <c r="R53" s="3"/>
      <c r="S53" s="3"/>
      <c r="W53">
        <v>5</v>
      </c>
      <c r="X53" t="s">
        <v>127</v>
      </c>
      <c r="Y53" s="3"/>
      <c r="Z53" s="3"/>
      <c r="AA53" s="3">
        <v>48.877467000000003</v>
      </c>
      <c r="AP53" t="s">
        <v>128</v>
      </c>
      <c r="AQ53" s="3"/>
      <c r="AR53" s="3"/>
      <c r="AS53" s="3"/>
      <c r="AT53" s="3">
        <v>2.7424439999999994</v>
      </c>
      <c r="AZ53" t="s">
        <v>128</v>
      </c>
      <c r="BA53" s="3"/>
      <c r="BB53" s="3"/>
      <c r="BC53" s="3"/>
      <c r="BD53" s="3">
        <v>3.1455056419999994</v>
      </c>
    </row>
    <row r="54" spans="1:56" x14ac:dyDescent="0.25">
      <c r="D54" t="s">
        <v>128</v>
      </c>
      <c r="E54" s="3"/>
      <c r="F54" s="3"/>
      <c r="G54" s="3"/>
      <c r="H54" s="3">
        <v>343.60453008771742</v>
      </c>
      <c r="L54" t="s">
        <v>149</v>
      </c>
      <c r="M54" t="s">
        <v>184</v>
      </c>
      <c r="N54">
        <v>12</v>
      </c>
      <c r="O54" t="s">
        <v>127</v>
      </c>
      <c r="P54" s="3"/>
      <c r="Q54" s="3">
        <v>13</v>
      </c>
      <c r="R54" s="3">
        <v>10</v>
      </c>
      <c r="S54" s="3"/>
      <c r="X54" t="s">
        <v>128</v>
      </c>
      <c r="Y54" s="3"/>
      <c r="Z54" s="3"/>
      <c r="AA54" s="3">
        <v>54.848699371624498</v>
      </c>
      <c r="AN54" t="s">
        <v>109</v>
      </c>
      <c r="AO54">
        <v>1</v>
      </c>
      <c r="AP54" t="s">
        <v>127</v>
      </c>
      <c r="AQ54" s="3"/>
      <c r="AR54" s="3"/>
      <c r="AS54" s="3"/>
      <c r="AT54" s="3">
        <v>12.900227999999998</v>
      </c>
      <c r="AY54">
        <v>3</v>
      </c>
      <c r="AZ54" t="s">
        <v>127</v>
      </c>
      <c r="BA54" s="3"/>
      <c r="BB54" s="3"/>
      <c r="BC54" s="3"/>
      <c r="BD54" s="3">
        <v>4.717314</v>
      </c>
    </row>
    <row r="55" spans="1:56" x14ac:dyDescent="0.25">
      <c r="C55">
        <v>6</v>
      </c>
      <c r="D55" t="s">
        <v>128</v>
      </c>
      <c r="E55" s="3"/>
      <c r="F55" s="3"/>
      <c r="G55" s="3"/>
      <c r="H55" s="3">
        <v>401.10441499999996</v>
      </c>
      <c r="L55" t="s">
        <v>153</v>
      </c>
      <c r="M55" t="s">
        <v>188</v>
      </c>
      <c r="N55">
        <v>12</v>
      </c>
      <c r="O55" t="s">
        <v>127</v>
      </c>
      <c r="P55" s="3">
        <v>3.9049999999999998</v>
      </c>
      <c r="Q55" s="3"/>
      <c r="R55" s="3"/>
      <c r="S55" s="3"/>
      <c r="W55">
        <v>6</v>
      </c>
      <c r="X55" t="s">
        <v>128</v>
      </c>
      <c r="Y55" s="3"/>
      <c r="Z55" s="3"/>
      <c r="AA55" s="3">
        <v>63.0410495</v>
      </c>
      <c r="AP55" t="s">
        <v>128</v>
      </c>
      <c r="AQ55" s="3"/>
      <c r="AR55" s="3"/>
      <c r="AS55" s="3"/>
      <c r="AT55" s="3">
        <v>41.567158689022186</v>
      </c>
      <c r="AZ55" t="s">
        <v>128</v>
      </c>
      <c r="BA55" s="3"/>
      <c r="BB55" s="3"/>
      <c r="BC55" s="3"/>
      <c r="BD55" s="3">
        <v>4.7173150000000001</v>
      </c>
    </row>
    <row r="56" spans="1:56" x14ac:dyDescent="0.25">
      <c r="C56">
        <v>12</v>
      </c>
      <c r="D56" t="s">
        <v>127</v>
      </c>
      <c r="E56" s="3">
        <v>1406.7286601099997</v>
      </c>
      <c r="F56" s="3">
        <v>1287.4960565862</v>
      </c>
      <c r="G56" s="3">
        <v>1373.8822230000003</v>
      </c>
      <c r="H56" s="3"/>
      <c r="L56" t="s">
        <v>160</v>
      </c>
      <c r="M56" t="s">
        <v>195</v>
      </c>
      <c r="N56">
        <v>12</v>
      </c>
      <c r="O56" t="s">
        <v>127</v>
      </c>
      <c r="P56" s="3">
        <v>1.9042760000000001</v>
      </c>
      <c r="Q56" s="3">
        <v>2.3192499999999998</v>
      </c>
      <c r="R56" s="3">
        <v>3.7135500000000001</v>
      </c>
      <c r="S56" s="3"/>
      <c r="W56">
        <v>12</v>
      </c>
      <c r="X56" t="s">
        <v>128</v>
      </c>
      <c r="Y56" s="3"/>
      <c r="Z56" s="3"/>
      <c r="AA56" s="3">
        <v>132.82649237250899</v>
      </c>
      <c r="AO56">
        <v>2</v>
      </c>
      <c r="AP56" t="s">
        <v>127</v>
      </c>
      <c r="AQ56" s="3"/>
      <c r="AR56" s="3"/>
      <c r="AS56" s="3"/>
      <c r="AT56" s="3">
        <v>61.002288</v>
      </c>
      <c r="AY56">
        <v>4</v>
      </c>
      <c r="AZ56" t="s">
        <v>127</v>
      </c>
      <c r="BA56" s="3"/>
      <c r="BB56" s="3"/>
      <c r="BC56" s="3"/>
      <c r="BD56" s="3">
        <v>6.289752</v>
      </c>
    </row>
    <row r="57" spans="1:56" x14ac:dyDescent="0.25">
      <c r="D57" t="s">
        <v>128</v>
      </c>
      <c r="E57" s="3"/>
      <c r="F57" s="3"/>
      <c r="G57" s="3"/>
      <c r="H57" s="3">
        <v>824.58490541808828</v>
      </c>
      <c r="L57" t="s">
        <v>163</v>
      </c>
      <c r="M57" t="s">
        <v>198</v>
      </c>
      <c r="N57">
        <v>1</v>
      </c>
      <c r="O57" t="s">
        <v>128</v>
      </c>
      <c r="P57" s="3"/>
      <c r="Q57" s="3"/>
      <c r="R57" s="3"/>
      <c r="S57" s="3">
        <v>66.823995538999981</v>
      </c>
      <c r="V57" t="s">
        <v>111</v>
      </c>
      <c r="W57">
        <v>1</v>
      </c>
      <c r="X57" t="s">
        <v>128</v>
      </c>
      <c r="Y57" s="3"/>
      <c r="Z57" s="3"/>
      <c r="AA57" s="3">
        <v>7.9967999999999997E-2</v>
      </c>
      <c r="AP57" t="s">
        <v>128</v>
      </c>
      <c r="AQ57" s="3"/>
      <c r="AR57" s="3"/>
      <c r="AS57" s="3"/>
      <c r="AT57" s="3">
        <v>87.532820228767122</v>
      </c>
      <c r="AZ57" t="s">
        <v>128</v>
      </c>
      <c r="BA57" s="3"/>
      <c r="BB57" s="3"/>
      <c r="BC57" s="3"/>
      <c r="BD57" s="3">
        <v>6.2891243579999996</v>
      </c>
    </row>
    <row r="58" spans="1:56" x14ac:dyDescent="0.25">
      <c r="B58" t="s">
        <v>111</v>
      </c>
      <c r="C58">
        <v>12</v>
      </c>
      <c r="D58" t="s">
        <v>127</v>
      </c>
      <c r="E58" s="3">
        <v>7.1300000000000008</v>
      </c>
      <c r="F58" s="3">
        <v>10.75</v>
      </c>
      <c r="G58" s="3">
        <v>11.503895</v>
      </c>
      <c r="H58" s="3"/>
      <c r="N58">
        <v>2</v>
      </c>
      <c r="O58" t="s">
        <v>127</v>
      </c>
      <c r="P58" s="3"/>
      <c r="Q58" s="3"/>
      <c r="R58" s="3"/>
      <c r="S58" s="3">
        <v>141.953247</v>
      </c>
      <c r="W58">
        <v>2</v>
      </c>
      <c r="X58" t="s">
        <v>128</v>
      </c>
      <c r="Y58" s="3"/>
      <c r="Z58" s="3"/>
      <c r="AA58" s="3">
        <v>0.15993599999999999</v>
      </c>
      <c r="AO58">
        <v>3</v>
      </c>
      <c r="AP58" t="s">
        <v>127</v>
      </c>
      <c r="AQ58" s="3"/>
      <c r="AR58" s="3"/>
      <c r="AS58" s="3"/>
      <c r="AT58" s="3">
        <v>96.544171000000006</v>
      </c>
      <c r="AY58">
        <v>5</v>
      </c>
      <c r="AZ58" t="s">
        <v>127</v>
      </c>
      <c r="BA58" s="3"/>
      <c r="BB58" s="3"/>
      <c r="BC58" s="3"/>
      <c r="BD58" s="3">
        <v>7.86219</v>
      </c>
    </row>
    <row r="59" spans="1:56" x14ac:dyDescent="0.25">
      <c r="B59" t="s">
        <v>205</v>
      </c>
      <c r="C59">
        <v>12</v>
      </c>
      <c r="D59" t="s">
        <v>127</v>
      </c>
      <c r="E59" s="3">
        <v>0.25781300000000001</v>
      </c>
      <c r="F59" s="3">
        <v>0.320156</v>
      </c>
      <c r="G59" s="3">
        <v>0.86153299999999988</v>
      </c>
      <c r="H59" s="3"/>
      <c r="O59" t="s">
        <v>128</v>
      </c>
      <c r="P59" s="3"/>
      <c r="Q59" s="3"/>
      <c r="R59" s="3"/>
      <c r="S59" s="3">
        <v>133.728211961</v>
      </c>
      <c r="W59">
        <v>3</v>
      </c>
      <c r="X59" t="s">
        <v>128</v>
      </c>
      <c r="Y59" s="3"/>
      <c r="Z59" s="3"/>
      <c r="AA59" s="3">
        <v>0.23990400000000001</v>
      </c>
      <c r="AP59" t="s">
        <v>128</v>
      </c>
      <c r="AQ59" s="3"/>
      <c r="AR59" s="3"/>
      <c r="AS59" s="3"/>
      <c r="AT59" s="3">
        <v>128.82324385528113</v>
      </c>
      <c r="AZ59" t="s">
        <v>128</v>
      </c>
      <c r="BA59" s="3"/>
      <c r="BB59" s="3"/>
      <c r="BC59" s="3"/>
      <c r="BD59" s="3">
        <v>7.862820642</v>
      </c>
    </row>
    <row r="60" spans="1:56" x14ac:dyDescent="0.25">
      <c r="B60" t="s">
        <v>113</v>
      </c>
      <c r="C60">
        <v>12</v>
      </c>
      <c r="D60" t="s">
        <v>127</v>
      </c>
      <c r="E60" s="3">
        <v>9.36</v>
      </c>
      <c r="F60" s="3">
        <v>15.35</v>
      </c>
      <c r="G60" s="3">
        <v>24.637675999999999</v>
      </c>
      <c r="H60" s="3"/>
      <c r="N60">
        <v>3</v>
      </c>
      <c r="O60" t="s">
        <v>127</v>
      </c>
      <c r="P60" s="3"/>
      <c r="Q60" s="3"/>
      <c r="R60" s="3"/>
      <c r="S60" s="3">
        <v>215.90249900000001</v>
      </c>
      <c r="W60">
        <v>4</v>
      </c>
      <c r="X60" t="s">
        <v>128</v>
      </c>
      <c r="Y60" s="3"/>
      <c r="Z60" s="3"/>
      <c r="AA60" s="3">
        <v>0.31987199999999999</v>
      </c>
      <c r="AO60">
        <v>4</v>
      </c>
      <c r="AP60" t="s">
        <v>127</v>
      </c>
      <c r="AQ60" s="3"/>
      <c r="AR60" s="3"/>
      <c r="AS60" s="3"/>
      <c r="AT60" s="3">
        <v>161.02561200000002</v>
      </c>
      <c r="AY60">
        <v>6</v>
      </c>
      <c r="AZ60" t="s">
        <v>128</v>
      </c>
      <c r="BA60" s="3"/>
      <c r="BB60" s="3"/>
      <c r="BC60" s="3"/>
      <c r="BD60" s="3">
        <v>9.4346300000000003</v>
      </c>
    </row>
    <row r="61" spans="1:56" x14ac:dyDescent="0.25">
      <c r="B61" t="s">
        <v>114</v>
      </c>
      <c r="C61">
        <v>12</v>
      </c>
      <c r="D61" t="s">
        <v>127</v>
      </c>
      <c r="E61" s="3"/>
      <c r="F61" s="3"/>
      <c r="G61" s="3">
        <v>52.75</v>
      </c>
      <c r="H61" s="3"/>
      <c r="O61" t="s">
        <v>128</v>
      </c>
      <c r="P61" s="3"/>
      <c r="Q61" s="3"/>
      <c r="R61" s="3"/>
      <c r="S61" s="3">
        <v>200.55220749999998</v>
      </c>
      <c r="W61">
        <v>5</v>
      </c>
      <c r="X61" t="s">
        <v>127</v>
      </c>
      <c r="Y61" s="3"/>
      <c r="Z61" s="3"/>
      <c r="AA61" s="3">
        <v>10.71</v>
      </c>
      <c r="AP61" t="s">
        <v>128</v>
      </c>
      <c r="AQ61" s="3"/>
      <c r="AR61" s="3"/>
      <c r="AS61" s="3"/>
      <c r="AT61" s="3">
        <v>171.49662118916288</v>
      </c>
      <c r="AY61">
        <v>12</v>
      </c>
      <c r="AZ61" t="s">
        <v>127</v>
      </c>
      <c r="BA61" s="3">
        <v>16.252572000000001</v>
      </c>
      <c r="BB61" s="3">
        <v>16.724177999999998</v>
      </c>
      <c r="BC61" s="3">
        <v>17.493879</v>
      </c>
      <c r="BD61" s="3"/>
    </row>
    <row r="62" spans="1:56" x14ac:dyDescent="0.25">
      <c r="B62" t="s">
        <v>116</v>
      </c>
      <c r="C62">
        <v>12</v>
      </c>
      <c r="D62" t="s">
        <v>127</v>
      </c>
      <c r="E62" s="3">
        <v>38.085525000000004</v>
      </c>
      <c r="F62" s="3">
        <v>46.385006999999995</v>
      </c>
      <c r="G62" s="3">
        <v>71.034999999999997</v>
      </c>
      <c r="H62" s="3"/>
      <c r="N62">
        <v>4</v>
      </c>
      <c r="O62" t="s">
        <v>127</v>
      </c>
      <c r="P62" s="3"/>
      <c r="Q62" s="3"/>
      <c r="R62" s="3"/>
      <c r="S62" s="3">
        <v>261.36799500000001</v>
      </c>
      <c r="X62" t="s">
        <v>128</v>
      </c>
      <c r="Y62" s="3"/>
      <c r="Z62" s="3"/>
      <c r="AA62" s="3">
        <v>0.39983999999999997</v>
      </c>
      <c r="AO62">
        <v>5</v>
      </c>
      <c r="AP62" t="s">
        <v>127</v>
      </c>
      <c r="AQ62" s="3"/>
      <c r="AR62" s="3"/>
      <c r="AS62" s="3"/>
      <c r="AT62" s="3">
        <v>195.99198200000001</v>
      </c>
      <c r="AZ62" t="s">
        <v>128</v>
      </c>
      <c r="BA62" s="3"/>
      <c r="BB62" s="3"/>
      <c r="BC62" s="3"/>
      <c r="BD62" s="3">
        <v>18.869260000000001</v>
      </c>
    </row>
    <row r="63" spans="1:56" x14ac:dyDescent="0.25">
      <c r="B63" t="s">
        <v>120</v>
      </c>
      <c r="C63">
        <v>12</v>
      </c>
      <c r="D63" t="s">
        <v>127</v>
      </c>
      <c r="E63" s="3"/>
      <c r="F63" s="3">
        <v>0.76041000000000003</v>
      </c>
      <c r="G63" s="3">
        <v>0.12070408000000001</v>
      </c>
      <c r="H63" s="3"/>
      <c r="O63" t="s">
        <v>128</v>
      </c>
      <c r="P63" s="3"/>
      <c r="Q63" s="3"/>
      <c r="R63" s="3"/>
      <c r="S63" s="3">
        <v>274.8341489758489</v>
      </c>
      <c r="W63">
        <v>6</v>
      </c>
      <c r="X63" t="s">
        <v>128</v>
      </c>
      <c r="Y63" s="3"/>
      <c r="Z63" s="3"/>
      <c r="AA63" s="3">
        <v>0.47980800000000001</v>
      </c>
      <c r="AP63" t="s">
        <v>128</v>
      </c>
      <c r="AQ63" s="3"/>
      <c r="AR63" s="3"/>
      <c r="AS63" s="3"/>
      <c r="AT63" s="3">
        <v>213.91864782233466</v>
      </c>
      <c r="AW63" t="s">
        <v>155</v>
      </c>
      <c r="AX63" t="s">
        <v>190</v>
      </c>
      <c r="AY63">
        <v>1</v>
      </c>
      <c r="AZ63" t="s">
        <v>127</v>
      </c>
      <c r="BA63" s="3"/>
      <c r="BB63" s="3"/>
      <c r="BC63" s="3"/>
      <c r="BD63" s="3">
        <v>3.1916229999999999</v>
      </c>
    </row>
    <row r="64" spans="1:56" x14ac:dyDescent="0.25">
      <c r="A64" t="s">
        <v>44</v>
      </c>
      <c r="B64" t="s">
        <v>100</v>
      </c>
      <c r="C64">
        <v>1</v>
      </c>
      <c r="D64" t="s">
        <v>127</v>
      </c>
      <c r="E64" s="3"/>
      <c r="F64" s="3"/>
      <c r="G64" s="3"/>
      <c r="H64" s="3">
        <v>-11.734803999999999</v>
      </c>
      <c r="N64">
        <v>5</v>
      </c>
      <c r="O64" t="s">
        <v>127</v>
      </c>
      <c r="P64" s="3"/>
      <c r="Q64" s="3"/>
      <c r="R64" s="3"/>
      <c r="S64" s="3">
        <v>335.49453799999998</v>
      </c>
      <c r="W64">
        <v>12</v>
      </c>
      <c r="X64" t="s">
        <v>128</v>
      </c>
      <c r="Y64" s="3"/>
      <c r="Z64" s="3"/>
      <c r="AA64" s="3">
        <v>0.96</v>
      </c>
      <c r="AO64">
        <v>6</v>
      </c>
      <c r="AP64" t="s">
        <v>128</v>
      </c>
      <c r="AQ64" s="3"/>
      <c r="AR64" s="3"/>
      <c r="AS64" s="3"/>
      <c r="AT64" s="3">
        <v>256.86627791360667</v>
      </c>
      <c r="AZ64" t="s">
        <v>128</v>
      </c>
      <c r="BA64" s="3"/>
      <c r="BB64" s="3"/>
      <c r="BC64" s="3"/>
      <c r="BD64" s="3">
        <v>3.190345851</v>
      </c>
    </row>
    <row r="65" spans="2:56" x14ac:dyDescent="0.25">
      <c r="D65" t="s">
        <v>128</v>
      </c>
      <c r="E65" s="3"/>
      <c r="F65" s="3"/>
      <c r="G65" s="3"/>
      <c r="H65" s="3">
        <v>-9.507018959261039</v>
      </c>
      <c r="O65" t="s">
        <v>128</v>
      </c>
      <c r="P65" s="3"/>
      <c r="Q65" s="3"/>
      <c r="R65" s="3"/>
      <c r="S65" s="3">
        <v>343.60453008771742</v>
      </c>
      <c r="V65" t="s">
        <v>205</v>
      </c>
      <c r="W65">
        <v>1</v>
      </c>
      <c r="X65" t="s">
        <v>128</v>
      </c>
      <c r="Y65" s="3"/>
      <c r="Z65" s="3"/>
      <c r="AA65" s="3">
        <v>0</v>
      </c>
      <c r="AO65">
        <v>12</v>
      </c>
      <c r="AP65" t="s">
        <v>127</v>
      </c>
      <c r="AQ65" s="3">
        <v>551.97933982999996</v>
      </c>
      <c r="AR65" s="3">
        <v>633.90766770826303</v>
      </c>
      <c r="AS65" s="3">
        <v>727.09822800000006</v>
      </c>
      <c r="AT65" s="3"/>
      <c r="AY65">
        <v>2</v>
      </c>
      <c r="AZ65" t="s">
        <v>127</v>
      </c>
      <c r="BA65" s="3"/>
      <c r="BB65" s="3"/>
      <c r="BC65" s="3"/>
      <c r="BD65" s="3">
        <v>6.3832459999999998</v>
      </c>
    </row>
    <row r="66" spans="2:56" x14ac:dyDescent="0.25">
      <c r="C66">
        <v>2</v>
      </c>
      <c r="D66" t="s">
        <v>127</v>
      </c>
      <c r="E66" s="3"/>
      <c r="F66" s="3"/>
      <c r="G66" s="3"/>
      <c r="H66" s="3">
        <v>-22.171104999999997</v>
      </c>
      <c r="N66">
        <v>6</v>
      </c>
      <c r="O66" t="s">
        <v>128</v>
      </c>
      <c r="P66" s="3"/>
      <c r="Q66" s="3"/>
      <c r="R66" s="3"/>
      <c r="S66" s="3">
        <v>401.10441499999996</v>
      </c>
      <c r="W66">
        <v>2</v>
      </c>
      <c r="X66" t="s">
        <v>128</v>
      </c>
      <c r="Y66" s="3"/>
      <c r="Z66" s="3"/>
      <c r="AA66" s="3">
        <v>0</v>
      </c>
      <c r="AP66" t="s">
        <v>128</v>
      </c>
      <c r="AQ66" s="3"/>
      <c r="AR66" s="3"/>
      <c r="AS66" s="3"/>
      <c r="AT66" s="3">
        <v>519.9142139588123</v>
      </c>
      <c r="AZ66" t="s">
        <v>128</v>
      </c>
      <c r="BA66" s="3"/>
      <c r="BB66" s="3"/>
      <c r="BC66" s="3"/>
      <c r="BD66" s="3">
        <v>6.380691702</v>
      </c>
    </row>
    <row r="67" spans="2:56" x14ac:dyDescent="0.25">
      <c r="D67" t="s">
        <v>128</v>
      </c>
      <c r="E67" s="3"/>
      <c r="F67" s="3"/>
      <c r="G67" s="3"/>
      <c r="H67" s="3">
        <v>-19.014037918522078</v>
      </c>
      <c r="N67">
        <v>12</v>
      </c>
      <c r="O67" t="s">
        <v>127</v>
      </c>
      <c r="P67" s="3">
        <v>1400.8093841099999</v>
      </c>
      <c r="Q67" s="3">
        <v>1252.2633685861999</v>
      </c>
      <c r="R67" s="3">
        <v>1360.1686730000001</v>
      </c>
      <c r="S67" s="3"/>
      <c r="W67">
        <v>3</v>
      </c>
      <c r="X67" t="s">
        <v>128</v>
      </c>
      <c r="Y67" s="3"/>
      <c r="Z67" s="3"/>
      <c r="AA67" s="3">
        <v>0</v>
      </c>
      <c r="AN67" t="s">
        <v>111</v>
      </c>
      <c r="AO67">
        <v>1</v>
      </c>
      <c r="AP67" t="s">
        <v>128</v>
      </c>
      <c r="AQ67" s="3"/>
      <c r="AR67" s="3"/>
      <c r="AS67" s="3"/>
      <c r="AT67" s="3">
        <v>0</v>
      </c>
      <c r="AY67">
        <v>3</v>
      </c>
      <c r="AZ67" t="s">
        <v>127</v>
      </c>
      <c r="BA67" s="3"/>
      <c r="BB67" s="3"/>
      <c r="BC67" s="3"/>
      <c r="BD67" s="3">
        <v>9.5748689999999996</v>
      </c>
    </row>
    <row r="68" spans="2:56" x14ac:dyDescent="0.25">
      <c r="C68">
        <v>3</v>
      </c>
      <c r="D68" t="s">
        <v>127</v>
      </c>
      <c r="E68" s="3"/>
      <c r="F68" s="3"/>
      <c r="G68" s="3"/>
      <c r="H68" s="3">
        <v>-32.358260000000001</v>
      </c>
      <c r="O68" t="s">
        <v>128</v>
      </c>
      <c r="P68" s="3"/>
      <c r="Q68" s="3"/>
      <c r="R68" s="3"/>
      <c r="S68" s="3">
        <v>824.58490541808828</v>
      </c>
      <c r="W68">
        <v>4</v>
      </c>
      <c r="X68" t="s">
        <v>128</v>
      </c>
      <c r="Y68" s="3"/>
      <c r="Z68" s="3"/>
      <c r="AA68" s="3">
        <v>8.6249999999999993E-2</v>
      </c>
      <c r="AO68">
        <v>2</v>
      </c>
      <c r="AP68" t="s">
        <v>127</v>
      </c>
      <c r="AQ68" s="3"/>
      <c r="AR68" s="3"/>
      <c r="AS68" s="3"/>
      <c r="AT68" s="3">
        <v>14.221067</v>
      </c>
      <c r="AZ68" t="s">
        <v>128</v>
      </c>
      <c r="BA68" s="3"/>
      <c r="BB68" s="3"/>
      <c r="BC68" s="3"/>
      <c r="BD68" s="3">
        <v>9.5710375530000018</v>
      </c>
    </row>
    <row r="69" spans="2:56" x14ac:dyDescent="0.25">
      <c r="D69" t="s">
        <v>128</v>
      </c>
      <c r="E69" s="3"/>
      <c r="F69" s="3"/>
      <c r="G69" s="3"/>
      <c r="H69" s="3">
        <v>-28.522253877783118</v>
      </c>
      <c r="K69" t="s">
        <v>44</v>
      </c>
      <c r="L69" t="s">
        <v>132</v>
      </c>
      <c r="M69" t="s">
        <v>167</v>
      </c>
      <c r="N69">
        <v>12</v>
      </c>
      <c r="O69" t="s">
        <v>127</v>
      </c>
      <c r="P69" s="3"/>
      <c r="Q69" s="3">
        <v>18.05</v>
      </c>
      <c r="R69" s="3">
        <v>0</v>
      </c>
      <c r="S69" s="3"/>
      <c r="W69">
        <v>5</v>
      </c>
      <c r="X69" t="s">
        <v>127</v>
      </c>
      <c r="Y69" s="3"/>
      <c r="Z69" s="3"/>
      <c r="AA69" s="3">
        <v>0</v>
      </c>
      <c r="AP69" t="s">
        <v>128</v>
      </c>
      <c r="AQ69" s="3"/>
      <c r="AR69" s="3"/>
      <c r="AS69" s="3"/>
      <c r="AT69" s="3">
        <v>9.4939233749999996</v>
      </c>
      <c r="AY69">
        <v>4</v>
      </c>
      <c r="AZ69" t="s">
        <v>127</v>
      </c>
      <c r="BA69" s="3"/>
      <c r="BB69" s="3"/>
      <c r="BC69" s="3"/>
      <c r="BD69" s="3">
        <v>12.766492</v>
      </c>
    </row>
    <row r="70" spans="2:56" x14ac:dyDescent="0.25">
      <c r="C70">
        <v>4</v>
      </c>
      <c r="D70" t="s">
        <v>127</v>
      </c>
      <c r="E70" s="3"/>
      <c r="F70" s="3"/>
      <c r="G70" s="3"/>
      <c r="H70" s="3">
        <v>-42.532362999999997</v>
      </c>
      <c r="L70" t="s">
        <v>133</v>
      </c>
      <c r="M70" t="s">
        <v>168</v>
      </c>
      <c r="N70">
        <v>4</v>
      </c>
      <c r="O70" t="s">
        <v>127</v>
      </c>
      <c r="P70" s="3"/>
      <c r="Q70" s="3"/>
      <c r="R70" s="3"/>
      <c r="S70" s="3">
        <v>0.63466699999999998</v>
      </c>
      <c r="X70" t="s">
        <v>128</v>
      </c>
      <c r="Y70" s="3"/>
      <c r="Z70" s="3"/>
      <c r="AA70" s="3">
        <v>8.6249999999999993E-2</v>
      </c>
      <c r="AO70">
        <v>3</v>
      </c>
      <c r="AP70" t="s">
        <v>127</v>
      </c>
      <c r="AQ70" s="3"/>
      <c r="AR70" s="3"/>
      <c r="AS70" s="3"/>
      <c r="AT70" s="3">
        <v>26.689864499999999</v>
      </c>
      <c r="AZ70" t="s">
        <v>128</v>
      </c>
      <c r="BA70" s="3"/>
      <c r="BB70" s="3"/>
      <c r="BC70" s="3"/>
      <c r="BD70" s="3">
        <v>12.761383404</v>
      </c>
    </row>
    <row r="71" spans="2:56" x14ac:dyDescent="0.25">
      <c r="D71" t="s">
        <v>128</v>
      </c>
      <c r="E71" s="3"/>
      <c r="F71" s="3"/>
      <c r="G71" s="3"/>
      <c r="H71" s="3">
        <v>-37.459500837044153</v>
      </c>
      <c r="N71">
        <v>5</v>
      </c>
      <c r="O71" t="s">
        <v>127</v>
      </c>
      <c r="P71" s="3"/>
      <c r="Q71" s="3"/>
      <c r="R71" s="3"/>
      <c r="S71" s="3">
        <v>0.63466699999999998</v>
      </c>
      <c r="W71">
        <v>6</v>
      </c>
      <c r="X71" t="s">
        <v>128</v>
      </c>
      <c r="Y71" s="3"/>
      <c r="Z71" s="3"/>
      <c r="AA71" s="3">
        <v>8.6249999999999993E-2</v>
      </c>
      <c r="AP71" t="s">
        <v>128</v>
      </c>
      <c r="AQ71" s="3"/>
      <c r="AR71" s="3"/>
      <c r="AS71" s="3"/>
      <c r="AT71" s="3">
        <v>19.128846750000001</v>
      </c>
      <c r="AY71">
        <v>5</v>
      </c>
      <c r="AZ71" t="s">
        <v>127</v>
      </c>
      <c r="BA71" s="3"/>
      <c r="BB71" s="3"/>
      <c r="BC71" s="3"/>
      <c r="BD71" s="3">
        <v>15.958114999999999</v>
      </c>
    </row>
    <row r="72" spans="2:56" x14ac:dyDescent="0.25">
      <c r="C72">
        <v>5</v>
      </c>
      <c r="D72" t="s">
        <v>127</v>
      </c>
      <c r="E72" s="3"/>
      <c r="F72" s="3"/>
      <c r="G72" s="3"/>
      <c r="H72" s="3">
        <v>-52.387256000000001</v>
      </c>
      <c r="N72">
        <v>12</v>
      </c>
      <c r="O72" t="s">
        <v>127</v>
      </c>
      <c r="P72" s="3">
        <v>1.5894999999999999</v>
      </c>
      <c r="Q72" s="3"/>
      <c r="R72" s="3"/>
      <c r="S72" s="3"/>
      <c r="W72">
        <v>12</v>
      </c>
      <c r="X72" t="s">
        <v>128</v>
      </c>
      <c r="Y72" s="3"/>
      <c r="Z72" s="3"/>
      <c r="AA72" s="3">
        <v>0.34499999999999997</v>
      </c>
      <c r="AO72">
        <v>4</v>
      </c>
      <c r="AP72" t="s">
        <v>127</v>
      </c>
      <c r="AQ72" s="3"/>
      <c r="AR72" s="3"/>
      <c r="AS72" s="3"/>
      <c r="AT72" s="3">
        <v>34.756322500000003</v>
      </c>
      <c r="AZ72" t="s">
        <v>128</v>
      </c>
      <c r="BA72" s="3"/>
      <c r="BB72" s="3"/>
      <c r="BC72" s="3"/>
      <c r="BD72" s="3">
        <v>15.951729254999998</v>
      </c>
    </row>
    <row r="73" spans="2:56" x14ac:dyDescent="0.25">
      <c r="D73" t="s">
        <v>128</v>
      </c>
      <c r="E73" s="3"/>
      <c r="F73" s="3"/>
      <c r="G73" s="3"/>
      <c r="H73" s="3">
        <v>-46.396747796305192</v>
      </c>
      <c r="L73" t="s">
        <v>146</v>
      </c>
      <c r="M73" t="s">
        <v>181</v>
      </c>
      <c r="N73">
        <v>1</v>
      </c>
      <c r="O73" t="s">
        <v>128</v>
      </c>
      <c r="P73" s="3"/>
      <c r="Q73" s="3"/>
      <c r="R73" s="3"/>
      <c r="S73" s="3">
        <v>12.011951017650151</v>
      </c>
      <c r="V73" t="s">
        <v>113</v>
      </c>
      <c r="W73">
        <v>1</v>
      </c>
      <c r="X73" t="s">
        <v>128</v>
      </c>
      <c r="Y73" s="3"/>
      <c r="Z73" s="3"/>
      <c r="AA73" s="3">
        <v>0.59955000000000003</v>
      </c>
      <c r="AP73" t="s">
        <v>128</v>
      </c>
      <c r="AQ73" s="3"/>
      <c r="AR73" s="3"/>
      <c r="AS73" s="3"/>
      <c r="AT73" s="3">
        <v>28.622720124999997</v>
      </c>
      <c r="AY73">
        <v>6</v>
      </c>
      <c r="AZ73" t="s">
        <v>128</v>
      </c>
      <c r="BA73" s="3"/>
      <c r="BB73" s="3"/>
      <c r="BC73" s="3"/>
      <c r="BD73" s="3">
        <v>19.142075106000004</v>
      </c>
    </row>
    <row r="74" spans="2:56" x14ac:dyDescent="0.25">
      <c r="C74">
        <v>6</v>
      </c>
      <c r="D74" t="s">
        <v>128</v>
      </c>
      <c r="E74" s="3"/>
      <c r="F74" s="3"/>
      <c r="G74" s="3"/>
      <c r="H74" s="3">
        <v>-55.333994755566238</v>
      </c>
      <c r="N74">
        <v>2</v>
      </c>
      <c r="O74" t="s">
        <v>128</v>
      </c>
      <c r="P74" s="3"/>
      <c r="Q74" s="3"/>
      <c r="R74" s="3"/>
      <c r="S74" s="3">
        <v>24.023902035300303</v>
      </c>
      <c r="W74">
        <v>2</v>
      </c>
      <c r="X74" t="s">
        <v>128</v>
      </c>
      <c r="Y74" s="3"/>
      <c r="Z74" s="3"/>
      <c r="AA74" s="3">
        <v>5.25</v>
      </c>
      <c r="AO74">
        <v>5</v>
      </c>
      <c r="AP74" t="s">
        <v>127</v>
      </c>
      <c r="AQ74" s="3"/>
      <c r="AR74" s="3"/>
      <c r="AS74" s="3"/>
      <c r="AT74" s="3">
        <v>48.802970470000005</v>
      </c>
      <c r="AY74">
        <v>12</v>
      </c>
      <c r="AZ74" t="s">
        <v>127</v>
      </c>
      <c r="BA74" s="3">
        <v>17.174579999999999</v>
      </c>
      <c r="BB74" s="3">
        <v>28.574346999999999</v>
      </c>
      <c r="BC74" s="3">
        <v>29.889430999999998</v>
      </c>
      <c r="BD74" s="3"/>
    </row>
    <row r="75" spans="2:56" x14ac:dyDescent="0.25">
      <c r="C75">
        <v>12</v>
      </c>
      <c r="D75" t="s">
        <v>127</v>
      </c>
      <c r="E75" s="3">
        <v>-94.151356000000007</v>
      </c>
      <c r="F75" s="3">
        <v>-158.65277700000001</v>
      </c>
      <c r="G75" s="3">
        <v>-146.72780299999999</v>
      </c>
      <c r="H75" s="3"/>
      <c r="N75">
        <v>3</v>
      </c>
      <c r="O75" t="s">
        <v>127</v>
      </c>
      <c r="P75" s="3"/>
      <c r="Q75" s="3"/>
      <c r="R75" s="3"/>
      <c r="S75" s="3">
        <v>1.058108</v>
      </c>
      <c r="W75">
        <v>3</v>
      </c>
      <c r="X75" t="s">
        <v>128</v>
      </c>
      <c r="Y75" s="3"/>
      <c r="Z75" s="3"/>
      <c r="AA75" s="3">
        <v>5.25</v>
      </c>
      <c r="AP75" t="s">
        <v>128</v>
      </c>
      <c r="AQ75" s="3"/>
      <c r="AR75" s="3"/>
      <c r="AS75" s="3"/>
      <c r="AT75" s="3">
        <v>47.62791974999999</v>
      </c>
      <c r="AZ75" t="s">
        <v>128</v>
      </c>
      <c r="BA75" s="3"/>
      <c r="BB75" s="3"/>
      <c r="BC75" s="3"/>
      <c r="BD75" s="3">
        <v>38.299469999999999</v>
      </c>
    </row>
    <row r="76" spans="2:56" x14ac:dyDescent="0.25">
      <c r="D76" t="s">
        <v>128</v>
      </c>
      <c r="E76" s="3"/>
      <c r="F76" s="3"/>
      <c r="G76" s="3"/>
      <c r="H76" s="3">
        <v>-118.36579713405999</v>
      </c>
      <c r="O76" t="s">
        <v>128</v>
      </c>
      <c r="P76" s="3"/>
      <c r="Q76" s="3"/>
      <c r="R76" s="3"/>
      <c r="S76" s="3">
        <v>36.046476490442252</v>
      </c>
      <c r="W76">
        <v>4</v>
      </c>
      <c r="X76" t="s">
        <v>128</v>
      </c>
      <c r="Y76" s="3"/>
      <c r="Z76" s="3"/>
      <c r="AA76" s="3">
        <v>5.25</v>
      </c>
      <c r="AO76">
        <v>6</v>
      </c>
      <c r="AP76" t="s">
        <v>128</v>
      </c>
      <c r="AQ76" s="3"/>
      <c r="AR76" s="3"/>
      <c r="AS76" s="3"/>
      <c r="AT76" s="3">
        <v>66.564466499999995</v>
      </c>
      <c r="AW76" t="s">
        <v>156</v>
      </c>
      <c r="AX76" t="s">
        <v>191</v>
      </c>
      <c r="AY76">
        <v>1</v>
      </c>
      <c r="AZ76" t="s">
        <v>127</v>
      </c>
      <c r="BA76" s="3"/>
      <c r="BB76" s="3"/>
      <c r="BC76" s="3"/>
      <c r="BD76" s="3">
        <v>1.2563839999999999</v>
      </c>
    </row>
    <row r="77" spans="2:56" x14ac:dyDescent="0.25">
      <c r="B77" t="s">
        <v>106</v>
      </c>
      <c r="C77">
        <v>1</v>
      </c>
      <c r="D77" t="s">
        <v>128</v>
      </c>
      <c r="E77" s="3"/>
      <c r="F77" s="3"/>
      <c r="G77" s="3"/>
      <c r="H77" s="3">
        <v>9.4849981927325793</v>
      </c>
      <c r="N77">
        <v>4</v>
      </c>
      <c r="O77" t="s">
        <v>127</v>
      </c>
      <c r="P77" s="3"/>
      <c r="Q77" s="3"/>
      <c r="R77" s="3"/>
      <c r="S77" s="3">
        <v>32.297547999999999</v>
      </c>
      <c r="W77">
        <v>5</v>
      </c>
      <c r="X77" t="s">
        <v>128</v>
      </c>
      <c r="Y77" s="3"/>
      <c r="Z77" s="3"/>
      <c r="AA77" s="3">
        <v>5.25</v>
      </c>
      <c r="AO77">
        <v>12</v>
      </c>
      <c r="AP77" t="s">
        <v>127</v>
      </c>
      <c r="AQ77" s="3">
        <v>234.37107934000002</v>
      </c>
      <c r="AR77" s="3">
        <v>238.69931191000001</v>
      </c>
      <c r="AS77" s="3">
        <v>145.50963302</v>
      </c>
      <c r="AT77" s="3"/>
      <c r="AZ77" t="s">
        <v>128</v>
      </c>
      <c r="BA77" s="3"/>
      <c r="BB77" s="3"/>
      <c r="BC77" s="3"/>
      <c r="BD77" s="3">
        <v>1.2558816129999999</v>
      </c>
    </row>
    <row r="78" spans="2:56" x14ac:dyDescent="0.25">
      <c r="C78">
        <v>2</v>
      </c>
      <c r="D78" t="s">
        <v>127</v>
      </c>
      <c r="E78" s="3"/>
      <c r="F78" s="3"/>
      <c r="G78" s="3"/>
      <c r="H78" s="3">
        <v>5.1725580000000004</v>
      </c>
      <c r="O78" t="s">
        <v>128</v>
      </c>
      <c r="P78" s="3"/>
      <c r="Q78" s="3"/>
      <c r="R78" s="3"/>
      <c r="S78" s="3">
        <v>48.058427508092407</v>
      </c>
      <c r="W78">
        <v>6</v>
      </c>
      <c r="X78" t="s">
        <v>128</v>
      </c>
      <c r="Y78" s="3"/>
      <c r="Z78" s="3"/>
      <c r="AA78" s="3">
        <v>5.25</v>
      </c>
      <c r="AP78" t="s">
        <v>128</v>
      </c>
      <c r="AQ78" s="3"/>
      <c r="AR78" s="3"/>
      <c r="AS78" s="3"/>
      <c r="AT78" s="3">
        <v>132.936633</v>
      </c>
      <c r="AY78">
        <v>2</v>
      </c>
      <c r="AZ78" t="s">
        <v>127</v>
      </c>
      <c r="BA78" s="3"/>
      <c r="BB78" s="3"/>
      <c r="BC78" s="3"/>
      <c r="BD78" s="3">
        <v>2.5127679999999999</v>
      </c>
    </row>
    <row r="79" spans="2:56" x14ac:dyDescent="0.25">
      <c r="D79" t="s">
        <v>128</v>
      </c>
      <c r="E79" s="3"/>
      <c r="F79" s="3"/>
      <c r="G79" s="3"/>
      <c r="H79" s="3">
        <v>18.969996385465159</v>
      </c>
      <c r="N79">
        <v>5</v>
      </c>
      <c r="O79" t="s">
        <v>127</v>
      </c>
      <c r="P79" s="3"/>
      <c r="Q79" s="3"/>
      <c r="R79" s="3"/>
      <c r="S79" s="3">
        <v>33.299073</v>
      </c>
      <c r="W79">
        <v>12</v>
      </c>
      <c r="X79" t="s">
        <v>128</v>
      </c>
      <c r="Y79" s="3"/>
      <c r="Z79" s="3"/>
      <c r="AA79" s="3">
        <v>10.5</v>
      </c>
      <c r="AN79" t="s">
        <v>205</v>
      </c>
      <c r="AO79">
        <v>1</v>
      </c>
      <c r="AP79" t="s">
        <v>127</v>
      </c>
      <c r="AQ79" s="3"/>
      <c r="AR79" s="3"/>
      <c r="AS79" s="3"/>
      <c r="AT79" s="3">
        <v>0.69780799999999998</v>
      </c>
      <c r="AZ79" t="s">
        <v>128</v>
      </c>
      <c r="BA79" s="3"/>
      <c r="BB79" s="3"/>
      <c r="BC79" s="3"/>
      <c r="BD79" s="3">
        <v>2.5132708869999996</v>
      </c>
    </row>
    <row r="80" spans="2:56" x14ac:dyDescent="0.25">
      <c r="C80">
        <v>3</v>
      </c>
      <c r="D80" t="s">
        <v>127</v>
      </c>
      <c r="E80" s="3"/>
      <c r="F80" s="3"/>
      <c r="G80" s="3"/>
      <c r="H80" s="3">
        <v>15.123635</v>
      </c>
      <c r="O80" t="s">
        <v>128</v>
      </c>
      <c r="P80" s="3"/>
      <c r="Q80" s="3"/>
      <c r="R80" s="3"/>
      <c r="S80" s="3">
        <v>60.070378525742555</v>
      </c>
      <c r="V80" t="s">
        <v>121</v>
      </c>
      <c r="W80">
        <v>1</v>
      </c>
      <c r="X80" t="s">
        <v>128</v>
      </c>
      <c r="Y80" s="3"/>
      <c r="Z80" s="3"/>
      <c r="AA80" s="3">
        <v>0</v>
      </c>
      <c r="AP80" t="s">
        <v>128</v>
      </c>
      <c r="AQ80" s="3"/>
      <c r="AR80" s="3"/>
      <c r="AS80" s="3"/>
      <c r="AT80" s="3">
        <v>0.44596578978461854</v>
      </c>
      <c r="AY80">
        <v>3</v>
      </c>
      <c r="AZ80" t="s">
        <v>127</v>
      </c>
      <c r="BA80" s="3"/>
      <c r="BB80" s="3"/>
      <c r="BC80" s="3"/>
      <c r="BD80" s="3">
        <v>3.7691520000000001</v>
      </c>
    </row>
    <row r="81" spans="2:56" x14ac:dyDescent="0.25">
      <c r="D81" t="s">
        <v>128</v>
      </c>
      <c r="E81" s="3"/>
      <c r="F81" s="3"/>
      <c r="G81" s="3"/>
      <c r="H81" s="3">
        <v>28.454994578197741</v>
      </c>
      <c r="N81">
        <v>6</v>
      </c>
      <c r="O81" t="s">
        <v>128</v>
      </c>
      <c r="P81" s="3"/>
      <c r="Q81" s="3"/>
      <c r="R81" s="3"/>
      <c r="S81" s="3">
        <v>81.433089414450947</v>
      </c>
      <c r="W81">
        <v>2</v>
      </c>
      <c r="X81" t="s">
        <v>128</v>
      </c>
      <c r="Y81" s="3"/>
      <c r="Z81" s="3"/>
      <c r="AA81" s="3">
        <v>0</v>
      </c>
      <c r="AO81">
        <v>2</v>
      </c>
      <c r="AP81" t="s">
        <v>127</v>
      </c>
      <c r="AQ81" s="3"/>
      <c r="AR81" s="3"/>
      <c r="AS81" s="3"/>
      <c r="AT81" s="3">
        <v>1.3811450000000001</v>
      </c>
      <c r="AZ81" t="s">
        <v>128</v>
      </c>
      <c r="BA81" s="3"/>
      <c r="BB81" s="3"/>
      <c r="BC81" s="3"/>
      <c r="BD81" s="3">
        <v>3.7691525000000001</v>
      </c>
    </row>
    <row r="82" spans="2:56" x14ac:dyDescent="0.25">
      <c r="C82">
        <v>4</v>
      </c>
      <c r="D82" t="s">
        <v>127</v>
      </c>
      <c r="E82" s="3"/>
      <c r="F82" s="3"/>
      <c r="G82" s="3"/>
      <c r="H82" s="3">
        <v>20.380365000000001</v>
      </c>
      <c r="N82">
        <v>12</v>
      </c>
      <c r="O82" t="s">
        <v>127</v>
      </c>
      <c r="P82" s="3">
        <v>16.230388000000001</v>
      </c>
      <c r="Q82" s="3">
        <v>58.236229000000002</v>
      </c>
      <c r="R82" s="3">
        <v>255.03209000000001</v>
      </c>
      <c r="S82" s="3"/>
      <c r="W82">
        <v>3</v>
      </c>
      <c r="X82" t="s">
        <v>128</v>
      </c>
      <c r="Y82" s="3"/>
      <c r="Z82" s="3"/>
      <c r="AA82" s="3">
        <v>0</v>
      </c>
      <c r="AP82" t="s">
        <v>128</v>
      </c>
      <c r="AQ82" s="3"/>
      <c r="AR82" s="3"/>
      <c r="AS82" s="3"/>
      <c r="AT82" s="3">
        <v>0.89248215461835378</v>
      </c>
      <c r="AY82">
        <v>4</v>
      </c>
      <c r="AZ82" t="s">
        <v>127</v>
      </c>
      <c r="BA82" s="3"/>
      <c r="BB82" s="3"/>
      <c r="BC82" s="3"/>
      <c r="BD82" s="3">
        <v>5.0255359999999998</v>
      </c>
    </row>
    <row r="83" spans="2:56" x14ac:dyDescent="0.25">
      <c r="D83" t="s">
        <v>128</v>
      </c>
      <c r="E83" s="3"/>
      <c r="F83" s="3"/>
      <c r="G83" s="3"/>
      <c r="H83" s="3">
        <v>37.939992770930317</v>
      </c>
      <c r="O83" t="s">
        <v>128</v>
      </c>
      <c r="P83" s="3"/>
      <c r="Q83" s="3"/>
      <c r="R83" s="3"/>
      <c r="S83" s="3">
        <v>162.86617882890189</v>
      </c>
      <c r="W83">
        <v>4</v>
      </c>
      <c r="X83" t="s">
        <v>128</v>
      </c>
      <c r="Y83" s="3"/>
      <c r="Z83" s="3"/>
      <c r="AA83" s="3">
        <v>15</v>
      </c>
      <c r="AO83">
        <v>3</v>
      </c>
      <c r="AP83" t="s">
        <v>127</v>
      </c>
      <c r="AQ83" s="3"/>
      <c r="AR83" s="3"/>
      <c r="AS83" s="3"/>
      <c r="AT83" s="3">
        <v>2.119939</v>
      </c>
      <c r="AZ83" t="s">
        <v>128</v>
      </c>
      <c r="BA83" s="3"/>
      <c r="BB83" s="3"/>
      <c r="BC83" s="3"/>
      <c r="BD83" s="3">
        <v>5.0250341130000002</v>
      </c>
    </row>
    <row r="84" spans="2:56" x14ac:dyDescent="0.25">
      <c r="C84">
        <v>5</v>
      </c>
      <c r="D84" t="s">
        <v>127</v>
      </c>
      <c r="E84" s="3"/>
      <c r="F84" s="3"/>
      <c r="G84" s="3"/>
      <c r="H84" s="3">
        <v>25.615749999999998</v>
      </c>
      <c r="L84" t="s">
        <v>147</v>
      </c>
      <c r="M84" t="s">
        <v>182</v>
      </c>
      <c r="N84">
        <v>12</v>
      </c>
      <c r="O84" t="s">
        <v>127</v>
      </c>
      <c r="P84" s="3">
        <v>0.28000000000000003</v>
      </c>
      <c r="Q84" s="3"/>
      <c r="R84" s="3"/>
      <c r="S84" s="3"/>
      <c r="W84">
        <v>5</v>
      </c>
      <c r="X84" t="s">
        <v>128</v>
      </c>
      <c r="Y84" s="3"/>
      <c r="Z84" s="3"/>
      <c r="AA84" s="3">
        <v>15</v>
      </c>
      <c r="AP84" t="s">
        <v>128</v>
      </c>
      <c r="AQ84" s="3"/>
      <c r="AR84" s="3"/>
      <c r="AS84" s="3"/>
      <c r="AT84" s="3">
        <v>1.3384479444029724</v>
      </c>
      <c r="AY84">
        <v>5</v>
      </c>
      <c r="AZ84" t="s">
        <v>127</v>
      </c>
      <c r="BA84" s="3"/>
      <c r="BB84" s="3"/>
      <c r="BC84" s="3"/>
      <c r="BD84" s="3">
        <v>6.2819200000000004</v>
      </c>
    </row>
    <row r="85" spans="2:56" x14ac:dyDescent="0.25">
      <c r="D85" t="s">
        <v>128</v>
      </c>
      <c r="E85" s="3"/>
      <c r="F85" s="3"/>
      <c r="G85" s="3"/>
      <c r="H85" s="3">
        <v>47.424990963662893</v>
      </c>
      <c r="L85" t="s">
        <v>148</v>
      </c>
      <c r="M85" t="s">
        <v>183</v>
      </c>
      <c r="N85">
        <v>12</v>
      </c>
      <c r="O85" t="s">
        <v>127</v>
      </c>
      <c r="P85" s="3"/>
      <c r="Q85" s="3">
        <v>131.94959675000001</v>
      </c>
      <c r="R85" s="3">
        <v>-8.9955130000000008</v>
      </c>
      <c r="S85" s="3"/>
      <c r="W85">
        <v>6</v>
      </c>
      <c r="X85" t="s">
        <v>128</v>
      </c>
      <c r="Y85" s="3"/>
      <c r="Z85" s="3"/>
      <c r="AA85" s="3">
        <v>15</v>
      </c>
      <c r="AO85">
        <v>4</v>
      </c>
      <c r="AP85" t="s">
        <v>127</v>
      </c>
      <c r="AQ85" s="3"/>
      <c r="AR85" s="3"/>
      <c r="AS85" s="3"/>
      <c r="AT85" s="3">
        <v>2.8030189999999999</v>
      </c>
      <c r="AZ85" t="s">
        <v>128</v>
      </c>
      <c r="BA85" s="3"/>
      <c r="BB85" s="3"/>
      <c r="BC85" s="3"/>
      <c r="BD85" s="3">
        <v>6.2824233869999997</v>
      </c>
    </row>
    <row r="86" spans="2:56" x14ac:dyDescent="0.25">
      <c r="C86">
        <v>6</v>
      </c>
      <c r="D86" t="s">
        <v>128</v>
      </c>
      <c r="E86" s="3"/>
      <c r="F86" s="3"/>
      <c r="G86" s="3"/>
      <c r="H86" s="3">
        <v>56.909989156395483</v>
      </c>
      <c r="L86" t="s">
        <v>149</v>
      </c>
      <c r="M86" t="s">
        <v>184</v>
      </c>
      <c r="N86">
        <v>3</v>
      </c>
      <c r="O86" t="s">
        <v>127</v>
      </c>
      <c r="P86" s="3"/>
      <c r="Q86" s="3"/>
      <c r="R86" s="3"/>
      <c r="S86" s="3">
        <v>0.4</v>
      </c>
      <c r="W86">
        <v>12</v>
      </c>
      <c r="X86" t="s">
        <v>128</v>
      </c>
      <c r="Y86" s="3"/>
      <c r="Z86" s="3"/>
      <c r="AA86" s="3">
        <v>60</v>
      </c>
      <c r="AP86" t="s">
        <v>128</v>
      </c>
      <c r="AQ86" s="3"/>
      <c r="AR86" s="3"/>
      <c r="AS86" s="3"/>
      <c r="AT86" s="3">
        <v>1.7838631591384742</v>
      </c>
      <c r="AY86">
        <v>6</v>
      </c>
      <c r="AZ86" t="s">
        <v>128</v>
      </c>
      <c r="BA86" s="3"/>
      <c r="BB86" s="3"/>
      <c r="BC86" s="3"/>
      <c r="BD86" s="3">
        <v>7.5383050000000003</v>
      </c>
    </row>
    <row r="87" spans="2:56" x14ac:dyDescent="0.25">
      <c r="C87">
        <v>12</v>
      </c>
      <c r="D87" t="s">
        <v>127</v>
      </c>
      <c r="E87" s="3">
        <v>108.11183400000002</v>
      </c>
      <c r="F87" s="3">
        <v>125.76744600000001</v>
      </c>
      <c r="G87" s="3">
        <v>75.088993999999985</v>
      </c>
      <c r="H87" s="3"/>
      <c r="N87">
        <v>4</v>
      </c>
      <c r="O87" t="s">
        <v>127</v>
      </c>
      <c r="P87" s="3"/>
      <c r="Q87" s="3"/>
      <c r="R87" s="3"/>
      <c r="S87" s="3">
        <v>2.4919229999999999</v>
      </c>
      <c r="U87" t="s">
        <v>247</v>
      </c>
      <c r="V87" t="s">
        <v>109</v>
      </c>
      <c r="W87">
        <v>1</v>
      </c>
      <c r="X87" t="s">
        <v>128</v>
      </c>
      <c r="Y87" s="3"/>
      <c r="Z87" s="3"/>
      <c r="AA87" s="3">
        <v>0</v>
      </c>
      <c r="AO87">
        <v>5</v>
      </c>
      <c r="AP87" t="s">
        <v>127</v>
      </c>
      <c r="AQ87" s="3"/>
      <c r="AR87" s="3"/>
      <c r="AS87" s="3"/>
      <c r="AT87" s="3">
        <v>3.4534250000000002</v>
      </c>
      <c r="AY87">
        <v>12</v>
      </c>
      <c r="AZ87" t="s">
        <v>127</v>
      </c>
      <c r="BA87" s="3">
        <v>10.581336</v>
      </c>
      <c r="BB87" s="3">
        <v>11.143079</v>
      </c>
      <c r="BC87" s="3">
        <v>18.539106</v>
      </c>
      <c r="BD87" s="3"/>
    </row>
    <row r="88" spans="2:56" x14ac:dyDescent="0.25">
      <c r="D88" t="s">
        <v>128</v>
      </c>
      <c r="E88" s="3"/>
      <c r="F88" s="3"/>
      <c r="G88" s="3"/>
      <c r="H88" s="3">
        <v>115.0333525226</v>
      </c>
      <c r="N88">
        <v>5</v>
      </c>
      <c r="O88" t="s">
        <v>127</v>
      </c>
      <c r="P88" s="3"/>
      <c r="Q88" s="3"/>
      <c r="R88" s="3"/>
      <c r="S88" s="3">
        <v>2.4919229999999999</v>
      </c>
      <c r="W88">
        <v>2</v>
      </c>
      <c r="X88" t="s">
        <v>128</v>
      </c>
      <c r="Y88" s="3"/>
      <c r="Z88" s="3"/>
      <c r="AA88" s="3">
        <v>0</v>
      </c>
      <c r="AP88" t="s">
        <v>128</v>
      </c>
      <c r="AQ88" s="3"/>
      <c r="AR88" s="3"/>
      <c r="AS88" s="3"/>
      <c r="AT88" s="3">
        <v>2.3173703817326659</v>
      </c>
      <c r="AZ88" t="s">
        <v>128</v>
      </c>
      <c r="BA88" s="3"/>
      <c r="BB88" s="3"/>
      <c r="BC88" s="3"/>
      <c r="BD88" s="3">
        <v>15.076610000000001</v>
      </c>
    </row>
    <row r="89" spans="2:56" x14ac:dyDescent="0.25">
      <c r="B89" t="s">
        <v>314</v>
      </c>
      <c r="C89">
        <v>1</v>
      </c>
      <c r="D89" t="s">
        <v>128</v>
      </c>
      <c r="E89" s="3"/>
      <c r="F89" s="3"/>
      <c r="G89" s="3"/>
      <c r="H89" s="3">
        <v>0</v>
      </c>
      <c r="N89">
        <v>12</v>
      </c>
      <c r="O89" t="s">
        <v>127</v>
      </c>
      <c r="P89" s="3"/>
      <c r="Q89" s="3">
        <v>44.598823000000003</v>
      </c>
      <c r="R89" s="3">
        <v>5.7858900000000002</v>
      </c>
      <c r="S89" s="3"/>
      <c r="W89">
        <v>3</v>
      </c>
      <c r="X89" t="s">
        <v>128</v>
      </c>
      <c r="Y89" s="3"/>
      <c r="Z89" s="3"/>
      <c r="AA89" s="3">
        <v>0</v>
      </c>
      <c r="AO89">
        <v>6</v>
      </c>
      <c r="AP89" t="s">
        <v>128</v>
      </c>
      <c r="AQ89" s="3"/>
      <c r="AR89" s="3"/>
      <c r="AS89" s="3"/>
      <c r="AT89" s="3">
        <v>2.7737970974505042</v>
      </c>
      <c r="AW89" t="s">
        <v>157</v>
      </c>
      <c r="AX89" t="s">
        <v>192</v>
      </c>
      <c r="AY89">
        <v>1</v>
      </c>
      <c r="AZ89" t="s">
        <v>128</v>
      </c>
      <c r="BA89" s="3"/>
      <c r="BB89" s="3"/>
      <c r="BC89" s="3"/>
      <c r="BD89" s="3">
        <v>0</v>
      </c>
    </row>
    <row r="90" spans="2:56" x14ac:dyDescent="0.25">
      <c r="C90">
        <v>2</v>
      </c>
      <c r="D90" t="s">
        <v>128</v>
      </c>
      <c r="E90" s="3"/>
      <c r="F90" s="3"/>
      <c r="G90" s="3"/>
      <c r="H90" s="3">
        <v>0</v>
      </c>
      <c r="L90" t="s">
        <v>250</v>
      </c>
      <c r="M90" t="s">
        <v>358</v>
      </c>
      <c r="N90">
        <v>1</v>
      </c>
      <c r="O90" t="s">
        <v>128</v>
      </c>
      <c r="P90" s="3"/>
      <c r="Q90" s="3"/>
      <c r="R90" s="3"/>
      <c r="S90" s="3">
        <v>3.91075174E-2</v>
      </c>
      <c r="W90">
        <v>4</v>
      </c>
      <c r="X90" t="s">
        <v>128</v>
      </c>
      <c r="Y90" s="3"/>
      <c r="Z90" s="3"/>
      <c r="AA90" s="3">
        <v>0</v>
      </c>
      <c r="AO90">
        <v>12</v>
      </c>
      <c r="AP90" t="s">
        <v>127</v>
      </c>
      <c r="AQ90" s="3">
        <v>7.8683779999999999</v>
      </c>
      <c r="AR90" s="3">
        <v>7.6685210000000001</v>
      </c>
      <c r="AS90" s="3">
        <v>7.121219</v>
      </c>
      <c r="AT90" s="3"/>
      <c r="AY90">
        <v>2</v>
      </c>
      <c r="AZ90" t="s">
        <v>128</v>
      </c>
      <c r="BA90" s="3"/>
      <c r="BB90" s="3"/>
      <c r="BC90" s="3"/>
      <c r="BD90" s="3">
        <v>0</v>
      </c>
    </row>
    <row r="91" spans="2:56" x14ac:dyDescent="0.25">
      <c r="C91">
        <v>3</v>
      </c>
      <c r="D91" t="s">
        <v>128</v>
      </c>
      <c r="E91" s="3"/>
      <c r="F91" s="3"/>
      <c r="G91" s="3"/>
      <c r="H91" s="3">
        <v>0</v>
      </c>
      <c r="N91">
        <v>2</v>
      </c>
      <c r="O91" t="s">
        <v>128</v>
      </c>
      <c r="P91" s="3"/>
      <c r="Q91" s="3"/>
      <c r="R91" s="3"/>
      <c r="S91" s="3">
        <v>7.82150348E-2</v>
      </c>
      <c r="W91">
        <v>5</v>
      </c>
      <c r="X91" t="s">
        <v>127</v>
      </c>
      <c r="Y91" s="3"/>
      <c r="Z91" s="3"/>
      <c r="AA91" s="3">
        <v>0.9667</v>
      </c>
      <c r="AP91" t="s">
        <v>128</v>
      </c>
      <c r="AQ91" s="3"/>
      <c r="AR91" s="3"/>
      <c r="AS91" s="3"/>
      <c r="AT91" s="3">
        <v>5.5057504911681301</v>
      </c>
      <c r="AY91">
        <v>3</v>
      </c>
      <c r="AZ91" t="s">
        <v>128</v>
      </c>
      <c r="BA91" s="3"/>
      <c r="BB91" s="3"/>
      <c r="BC91" s="3"/>
      <c r="BD91" s="3">
        <v>0</v>
      </c>
    </row>
    <row r="92" spans="2:56" x14ac:dyDescent="0.25">
      <c r="C92">
        <v>4</v>
      </c>
      <c r="D92" t="s">
        <v>128</v>
      </c>
      <c r="E92" s="3"/>
      <c r="F92" s="3"/>
      <c r="G92" s="3"/>
      <c r="H92" s="3">
        <v>0</v>
      </c>
      <c r="N92">
        <v>3</v>
      </c>
      <c r="O92" t="s">
        <v>128</v>
      </c>
      <c r="P92" s="3"/>
      <c r="Q92" s="3"/>
      <c r="R92" s="3"/>
      <c r="S92" s="3">
        <v>0.11732255220000001</v>
      </c>
      <c r="X92" t="s">
        <v>128</v>
      </c>
      <c r="Y92" s="3"/>
      <c r="Z92" s="3"/>
      <c r="AA92" s="3">
        <v>0</v>
      </c>
      <c r="AN92" t="s">
        <v>112</v>
      </c>
      <c r="AO92">
        <v>1</v>
      </c>
      <c r="AP92" t="s">
        <v>127</v>
      </c>
      <c r="AQ92" s="3"/>
      <c r="AR92" s="3"/>
      <c r="AS92" s="3"/>
      <c r="AT92" s="3">
        <v>0.41229399999999999</v>
      </c>
      <c r="AY92">
        <v>4</v>
      </c>
      <c r="AZ92" t="s">
        <v>128</v>
      </c>
      <c r="BA92" s="3"/>
      <c r="BB92" s="3"/>
      <c r="BC92" s="3"/>
      <c r="BD92" s="3">
        <v>0</v>
      </c>
    </row>
    <row r="93" spans="2:56" x14ac:dyDescent="0.25">
      <c r="C93">
        <v>5</v>
      </c>
      <c r="D93" t="s">
        <v>128</v>
      </c>
      <c r="E93" s="3"/>
      <c r="F93" s="3"/>
      <c r="G93" s="3"/>
      <c r="H93" s="3">
        <v>0</v>
      </c>
      <c r="N93">
        <v>4</v>
      </c>
      <c r="O93" t="s">
        <v>128</v>
      </c>
      <c r="P93" s="3"/>
      <c r="Q93" s="3"/>
      <c r="R93" s="3"/>
      <c r="S93" s="3">
        <v>0.1564300696</v>
      </c>
      <c r="W93">
        <v>6</v>
      </c>
      <c r="X93" t="s">
        <v>128</v>
      </c>
      <c r="Y93" s="3"/>
      <c r="Z93" s="3"/>
      <c r="AA93" s="3">
        <v>1.2499725000000002</v>
      </c>
      <c r="AO93">
        <v>2</v>
      </c>
      <c r="AP93" t="s">
        <v>127</v>
      </c>
      <c r="AQ93" s="3"/>
      <c r="AR93" s="3"/>
      <c r="AS93" s="3"/>
      <c r="AT93" s="3">
        <v>1.0131749999999999</v>
      </c>
      <c r="AY93">
        <v>5</v>
      </c>
      <c r="AZ93" t="s">
        <v>128</v>
      </c>
      <c r="BA93" s="3"/>
      <c r="BB93" s="3"/>
      <c r="BC93" s="3"/>
      <c r="BD93" s="3">
        <v>0</v>
      </c>
    </row>
    <row r="94" spans="2:56" x14ac:dyDescent="0.25">
      <c r="C94">
        <v>6</v>
      </c>
      <c r="D94" t="s">
        <v>128</v>
      </c>
      <c r="E94" s="3"/>
      <c r="F94" s="3"/>
      <c r="G94" s="3"/>
      <c r="H94" s="3">
        <v>0</v>
      </c>
      <c r="N94">
        <v>5</v>
      </c>
      <c r="O94" t="s">
        <v>128</v>
      </c>
      <c r="P94" s="3"/>
      <c r="Q94" s="3"/>
      <c r="R94" s="3"/>
      <c r="S94" s="3">
        <v>0.19553758700000001</v>
      </c>
      <c r="W94">
        <v>12</v>
      </c>
      <c r="X94" t="s">
        <v>128</v>
      </c>
      <c r="Y94" s="3"/>
      <c r="Z94" s="3"/>
      <c r="AA94" s="3">
        <v>2.1749999999999998</v>
      </c>
      <c r="AO94">
        <v>3</v>
      </c>
      <c r="AP94" t="s">
        <v>127</v>
      </c>
      <c r="AQ94" s="3"/>
      <c r="AR94" s="3"/>
      <c r="AS94" s="3"/>
      <c r="AT94" s="3">
        <v>1.7539130000000001</v>
      </c>
      <c r="AY94">
        <v>6</v>
      </c>
      <c r="AZ94" t="s">
        <v>128</v>
      </c>
      <c r="BA94" s="3"/>
      <c r="BB94" s="3"/>
      <c r="BC94" s="3"/>
      <c r="BD94" s="3">
        <v>0</v>
      </c>
    </row>
    <row r="95" spans="2:56" x14ac:dyDescent="0.25">
      <c r="C95">
        <v>12</v>
      </c>
      <c r="D95" t="s">
        <v>127</v>
      </c>
      <c r="E95" s="3">
        <v>6.6148060000000006</v>
      </c>
      <c r="F95" s="3">
        <v>16.381014</v>
      </c>
      <c r="G95" s="3"/>
      <c r="H95" s="3"/>
      <c r="N95">
        <v>6</v>
      </c>
      <c r="O95" t="s">
        <v>128</v>
      </c>
      <c r="P95" s="3"/>
      <c r="Q95" s="3"/>
      <c r="R95" s="3"/>
      <c r="S95" s="3">
        <v>0.23464510440000003</v>
      </c>
      <c r="V95" t="s">
        <v>205</v>
      </c>
      <c r="W95">
        <v>1</v>
      </c>
      <c r="X95" t="s">
        <v>128</v>
      </c>
      <c r="Y95" s="3"/>
      <c r="Z95" s="3"/>
      <c r="AA95" s="3">
        <v>0</v>
      </c>
      <c r="AO95">
        <v>4</v>
      </c>
      <c r="AP95" t="s">
        <v>127</v>
      </c>
      <c r="AQ95" s="3"/>
      <c r="AR95" s="3"/>
      <c r="AS95" s="3"/>
      <c r="AT95" s="3">
        <v>2.2468689999999998</v>
      </c>
      <c r="AY95">
        <v>12</v>
      </c>
      <c r="AZ95" t="s">
        <v>127</v>
      </c>
      <c r="BA95" s="3">
        <v>14.010422</v>
      </c>
      <c r="BB95" s="3">
        <v>13.765991</v>
      </c>
      <c r="BC95" s="3">
        <v>3.5735999999999999</v>
      </c>
      <c r="BD95" s="3"/>
    </row>
    <row r="96" spans="2:56" x14ac:dyDescent="0.25">
      <c r="D96" t="s">
        <v>128</v>
      </c>
      <c r="E96" s="3"/>
      <c r="F96" s="3"/>
      <c r="G96" s="3"/>
      <c r="H96" s="3">
        <v>0</v>
      </c>
      <c r="N96">
        <v>12</v>
      </c>
      <c r="O96" t="s">
        <v>128</v>
      </c>
      <c r="P96" s="3"/>
      <c r="Q96" s="3"/>
      <c r="R96" s="3"/>
      <c r="S96" s="3">
        <v>0.46947800000000006</v>
      </c>
      <c r="W96">
        <v>2</v>
      </c>
      <c r="X96" t="s">
        <v>128</v>
      </c>
      <c r="Y96" s="3"/>
      <c r="Z96" s="3"/>
      <c r="AA96" s="3">
        <v>0</v>
      </c>
      <c r="AO96">
        <v>5</v>
      </c>
      <c r="AP96" t="s">
        <v>127</v>
      </c>
      <c r="AQ96" s="3"/>
      <c r="AR96" s="3"/>
      <c r="AS96" s="3"/>
      <c r="AT96" s="3">
        <v>2.6162830000000001</v>
      </c>
      <c r="AZ96" t="s">
        <v>128</v>
      </c>
      <c r="BA96" s="3"/>
      <c r="BB96" s="3"/>
      <c r="BC96" s="3"/>
      <c r="BD96" s="3">
        <v>1.8017889999999994</v>
      </c>
    </row>
    <row r="97" spans="2:56" x14ac:dyDescent="0.25">
      <c r="B97" t="s">
        <v>107</v>
      </c>
      <c r="C97">
        <v>1</v>
      </c>
      <c r="D97" t="s">
        <v>127</v>
      </c>
      <c r="E97" s="3"/>
      <c r="F97" s="3"/>
      <c r="G97" s="3"/>
      <c r="H97" s="3">
        <v>9.9999999999999995E-7</v>
      </c>
      <c r="L97" t="s">
        <v>151</v>
      </c>
      <c r="M97" t="s">
        <v>186</v>
      </c>
      <c r="N97">
        <v>12</v>
      </c>
      <c r="O97" t="s">
        <v>127</v>
      </c>
      <c r="P97" s="3">
        <v>5.6599999999999998E-2</v>
      </c>
      <c r="Q97" s="3">
        <v>0.17785000000000001</v>
      </c>
      <c r="R97" s="3">
        <v>0.1168</v>
      </c>
      <c r="S97" s="3"/>
      <c r="W97">
        <v>3</v>
      </c>
      <c r="X97" t="s">
        <v>128</v>
      </c>
      <c r="Y97" s="3"/>
      <c r="Z97" s="3"/>
      <c r="AA97" s="3">
        <v>0</v>
      </c>
      <c r="AO97">
        <v>12</v>
      </c>
      <c r="AP97" t="s">
        <v>127</v>
      </c>
      <c r="AQ97" s="3">
        <v>0.33576157000000001</v>
      </c>
      <c r="AR97" s="3">
        <v>2.3204650300000003</v>
      </c>
      <c r="AS97" s="3">
        <v>3.2514867999999999</v>
      </c>
      <c r="AT97" s="3"/>
      <c r="AW97" t="s">
        <v>158</v>
      </c>
      <c r="AX97" t="s">
        <v>193</v>
      </c>
      <c r="AY97">
        <v>1</v>
      </c>
      <c r="AZ97" t="s">
        <v>128</v>
      </c>
      <c r="BA97" s="3"/>
      <c r="BB97" s="3"/>
      <c r="BC97" s="3"/>
      <c r="BD97" s="3">
        <v>0</v>
      </c>
    </row>
    <row r="98" spans="2:56" x14ac:dyDescent="0.25">
      <c r="C98">
        <v>2</v>
      </c>
      <c r="D98" t="s">
        <v>127</v>
      </c>
      <c r="E98" s="3"/>
      <c r="F98" s="3"/>
      <c r="G98" s="3"/>
      <c r="H98" s="3">
        <v>9.9999999999999995E-7</v>
      </c>
      <c r="L98" t="s">
        <v>152</v>
      </c>
      <c r="M98" t="s">
        <v>187</v>
      </c>
      <c r="N98">
        <v>1</v>
      </c>
      <c r="O98" t="s">
        <v>127</v>
      </c>
      <c r="P98" s="3"/>
      <c r="Q98" s="3"/>
      <c r="R98" s="3"/>
      <c r="S98" s="3">
        <v>1.9682649999999999</v>
      </c>
      <c r="W98">
        <v>4</v>
      </c>
      <c r="X98" t="s">
        <v>128</v>
      </c>
      <c r="Y98" s="3"/>
      <c r="Z98" s="3"/>
      <c r="AA98" s="3">
        <v>0</v>
      </c>
      <c r="AN98" t="s">
        <v>113</v>
      </c>
      <c r="AO98">
        <v>4</v>
      </c>
      <c r="AP98" t="s">
        <v>127</v>
      </c>
      <c r="AQ98" s="3"/>
      <c r="AR98" s="3"/>
      <c r="AS98" s="3"/>
      <c r="AT98" s="3">
        <v>0.63466699999999998</v>
      </c>
      <c r="AY98">
        <v>2</v>
      </c>
      <c r="AZ98" t="s">
        <v>128</v>
      </c>
      <c r="BA98" s="3"/>
      <c r="BB98" s="3"/>
      <c r="BC98" s="3"/>
      <c r="BD98" s="3">
        <v>0</v>
      </c>
    </row>
    <row r="99" spans="2:56" x14ac:dyDescent="0.25">
      <c r="C99">
        <v>3</v>
      </c>
      <c r="D99" t="s">
        <v>127</v>
      </c>
      <c r="E99" s="3"/>
      <c r="F99" s="3"/>
      <c r="G99" s="3"/>
      <c r="H99" s="3">
        <v>9.9999999999999995E-7</v>
      </c>
      <c r="O99" t="s">
        <v>128</v>
      </c>
      <c r="P99" s="3"/>
      <c r="Q99" s="3"/>
      <c r="R99" s="3"/>
      <c r="S99" s="3">
        <v>1.9674773608</v>
      </c>
      <c r="W99">
        <v>5</v>
      </c>
      <c r="X99" t="s">
        <v>127</v>
      </c>
      <c r="Y99" s="3"/>
      <c r="Z99" s="3"/>
      <c r="AA99" s="3">
        <v>0.134573</v>
      </c>
      <c r="AO99">
        <v>5</v>
      </c>
      <c r="AP99" t="s">
        <v>127</v>
      </c>
      <c r="AQ99" s="3"/>
      <c r="AR99" s="3"/>
      <c r="AS99" s="3"/>
      <c r="AT99" s="3">
        <v>0.63466699999999998</v>
      </c>
      <c r="AY99">
        <v>3</v>
      </c>
      <c r="AZ99" t="s">
        <v>128</v>
      </c>
      <c r="BA99" s="3"/>
      <c r="BB99" s="3"/>
      <c r="BC99" s="3"/>
      <c r="BD99" s="3">
        <v>0</v>
      </c>
    </row>
    <row r="100" spans="2:56" x14ac:dyDescent="0.25">
      <c r="C100">
        <v>4</v>
      </c>
      <c r="D100" t="s">
        <v>127</v>
      </c>
      <c r="E100" s="3"/>
      <c r="F100" s="3"/>
      <c r="G100" s="3"/>
      <c r="H100" s="3">
        <v>7.4645500000000004E-2</v>
      </c>
      <c r="N100">
        <v>2</v>
      </c>
      <c r="O100" t="s">
        <v>127</v>
      </c>
      <c r="P100" s="3"/>
      <c r="Q100" s="3"/>
      <c r="R100" s="3"/>
      <c r="S100" s="3">
        <v>3.9365299999999999</v>
      </c>
      <c r="X100" t="s">
        <v>128</v>
      </c>
      <c r="Y100" s="3"/>
      <c r="Z100" s="3"/>
      <c r="AA100" s="3">
        <v>0</v>
      </c>
      <c r="AO100">
        <v>12</v>
      </c>
      <c r="AP100" t="s">
        <v>127</v>
      </c>
      <c r="AQ100" s="3">
        <v>1.5894999999999999</v>
      </c>
      <c r="AR100" s="3">
        <v>18.05</v>
      </c>
      <c r="AS100" s="3">
        <v>0</v>
      </c>
      <c r="AT100" s="3"/>
      <c r="AY100">
        <v>4</v>
      </c>
      <c r="AZ100" t="s">
        <v>128</v>
      </c>
      <c r="BA100" s="3"/>
      <c r="BB100" s="3"/>
      <c r="BC100" s="3"/>
      <c r="BD100" s="3">
        <v>0</v>
      </c>
    </row>
    <row r="101" spans="2:56" x14ac:dyDescent="0.25">
      <c r="C101">
        <v>5</v>
      </c>
      <c r="D101" t="s">
        <v>127</v>
      </c>
      <c r="E101" s="3"/>
      <c r="F101" s="3"/>
      <c r="G101" s="3"/>
      <c r="H101" s="3">
        <v>8.8969580000000006E-2</v>
      </c>
      <c r="O101" t="s">
        <v>128</v>
      </c>
      <c r="P101" s="3"/>
      <c r="Q101" s="3"/>
      <c r="R101" s="3"/>
      <c r="S101" s="3">
        <v>3.9373166391999996</v>
      </c>
      <c r="W101">
        <v>6</v>
      </c>
      <c r="X101" t="s">
        <v>128</v>
      </c>
      <c r="Y101" s="3"/>
      <c r="Z101" s="3"/>
      <c r="AA101" s="3">
        <v>0.1437468375</v>
      </c>
      <c r="AN101" t="s">
        <v>114</v>
      </c>
      <c r="AO101">
        <v>12</v>
      </c>
      <c r="AP101" t="s">
        <v>127</v>
      </c>
      <c r="AQ101" s="3">
        <v>1.67344841</v>
      </c>
      <c r="AR101" s="3">
        <v>7.6790609999999999</v>
      </c>
      <c r="AS101" s="3"/>
      <c r="AT101" s="3"/>
      <c r="AY101">
        <v>5</v>
      </c>
      <c r="AZ101" t="s">
        <v>128</v>
      </c>
      <c r="BA101" s="3"/>
      <c r="BB101" s="3"/>
      <c r="BC101" s="3"/>
      <c r="BD101" s="3">
        <v>0</v>
      </c>
    </row>
    <row r="102" spans="2:56" x14ac:dyDescent="0.25">
      <c r="C102">
        <v>12</v>
      </c>
      <c r="D102" t="s">
        <v>127</v>
      </c>
      <c r="E102" s="3">
        <v>1.34355227</v>
      </c>
      <c r="F102" s="3">
        <v>8.9008130000000005E-2</v>
      </c>
      <c r="G102" s="3">
        <v>0.56512209000000002</v>
      </c>
      <c r="H102" s="3"/>
      <c r="N102">
        <v>3</v>
      </c>
      <c r="O102" t="s">
        <v>127</v>
      </c>
      <c r="P102" s="3"/>
      <c r="Q102" s="3"/>
      <c r="R102" s="3"/>
      <c r="S102" s="3">
        <v>5.904795</v>
      </c>
      <c r="W102">
        <v>12</v>
      </c>
      <c r="X102" t="s">
        <v>128</v>
      </c>
      <c r="Y102" s="3"/>
      <c r="Z102" s="3"/>
      <c r="AA102" s="3">
        <v>0.25012499999999999</v>
      </c>
      <c r="AN102" t="s">
        <v>115</v>
      </c>
      <c r="AO102">
        <v>12</v>
      </c>
      <c r="AP102" t="s">
        <v>127</v>
      </c>
      <c r="AQ102" s="3"/>
      <c r="AR102" s="3">
        <v>2.5000000000000001E-2</v>
      </c>
      <c r="AS102" s="3"/>
      <c r="AT102" s="3"/>
      <c r="AY102">
        <v>6</v>
      </c>
      <c r="AZ102" t="s">
        <v>128</v>
      </c>
      <c r="BA102" s="3"/>
      <c r="BB102" s="3"/>
      <c r="BC102" s="3"/>
      <c r="BD102" s="3">
        <v>0</v>
      </c>
    </row>
    <row r="103" spans="2:56" x14ac:dyDescent="0.25">
      <c r="B103" t="s">
        <v>108</v>
      </c>
      <c r="C103">
        <v>1</v>
      </c>
      <c r="D103" t="s">
        <v>128</v>
      </c>
      <c r="E103" s="3"/>
      <c r="F103" s="3"/>
      <c r="G103" s="3"/>
      <c r="H103" s="3">
        <v>12.517445174399999</v>
      </c>
      <c r="O103" t="s">
        <v>128</v>
      </c>
      <c r="P103" s="3"/>
      <c r="Q103" s="3"/>
      <c r="R103" s="3"/>
      <c r="S103" s="3">
        <v>5.9047940000000008</v>
      </c>
      <c r="V103" t="s">
        <v>116</v>
      </c>
      <c r="W103">
        <v>1</v>
      </c>
      <c r="X103" t="s">
        <v>128</v>
      </c>
      <c r="Y103" s="3"/>
      <c r="Z103" s="3"/>
      <c r="AA103" s="3">
        <v>0</v>
      </c>
      <c r="AN103" t="s">
        <v>116</v>
      </c>
      <c r="AO103">
        <v>1</v>
      </c>
      <c r="AP103" t="s">
        <v>127</v>
      </c>
      <c r="AQ103" s="3"/>
      <c r="AR103" s="3"/>
      <c r="AS103" s="3"/>
      <c r="AT103" s="3">
        <v>0.04</v>
      </c>
      <c r="AY103">
        <v>12</v>
      </c>
      <c r="AZ103" t="s">
        <v>127</v>
      </c>
      <c r="BA103" s="3">
        <v>0.15</v>
      </c>
      <c r="BB103" s="3"/>
      <c r="BC103" s="3"/>
      <c r="BD103" s="3"/>
    </row>
    <row r="104" spans="2:56" x14ac:dyDescent="0.25">
      <c r="C104">
        <v>2</v>
      </c>
      <c r="D104" t="s">
        <v>128</v>
      </c>
      <c r="E104" s="3"/>
      <c r="F104" s="3"/>
      <c r="G104" s="3"/>
      <c r="H104" s="3">
        <v>12.517445174399999</v>
      </c>
      <c r="N104">
        <v>4</v>
      </c>
      <c r="O104" t="s">
        <v>127</v>
      </c>
      <c r="P104" s="3"/>
      <c r="Q104" s="3"/>
      <c r="R104" s="3"/>
      <c r="S104" s="3">
        <v>7.8730599999999997</v>
      </c>
      <c r="W104">
        <v>2</v>
      </c>
      <c r="X104" t="s">
        <v>128</v>
      </c>
      <c r="Y104" s="3"/>
      <c r="Z104" s="3"/>
      <c r="AA104" s="3">
        <v>0</v>
      </c>
      <c r="AP104" t="s">
        <v>128</v>
      </c>
      <c r="AQ104" s="3"/>
      <c r="AR104" s="3"/>
      <c r="AS104" s="3"/>
      <c r="AT104" s="3">
        <v>0</v>
      </c>
      <c r="AZ104" t="s">
        <v>128</v>
      </c>
      <c r="BA104" s="3"/>
      <c r="BB104" s="3"/>
      <c r="BC104" s="3"/>
      <c r="BD104" s="3">
        <v>0.36</v>
      </c>
    </row>
    <row r="105" spans="2:56" x14ac:dyDescent="0.25">
      <c r="C105">
        <v>3</v>
      </c>
      <c r="D105" t="s">
        <v>128</v>
      </c>
      <c r="E105" s="3"/>
      <c r="F105" s="3"/>
      <c r="G105" s="3"/>
      <c r="H105" s="3">
        <v>13.235713499999999</v>
      </c>
      <c r="O105" t="s">
        <v>128</v>
      </c>
      <c r="P105" s="3"/>
      <c r="Q105" s="3"/>
      <c r="R105" s="3"/>
      <c r="S105" s="3">
        <v>7.8722713608000001</v>
      </c>
      <c r="W105">
        <v>3</v>
      </c>
      <c r="X105" t="s">
        <v>128</v>
      </c>
      <c r="Y105" s="3"/>
      <c r="Z105" s="3"/>
      <c r="AA105" s="3">
        <v>0</v>
      </c>
      <c r="AO105">
        <v>2</v>
      </c>
      <c r="AP105" t="s">
        <v>127</v>
      </c>
      <c r="AQ105" s="3"/>
      <c r="AR105" s="3"/>
      <c r="AS105" s="3"/>
      <c r="AT105" s="3">
        <v>2.25</v>
      </c>
      <c r="AW105" t="s">
        <v>159</v>
      </c>
      <c r="AX105" t="s">
        <v>194</v>
      </c>
      <c r="AY105">
        <v>1</v>
      </c>
      <c r="AZ105" t="s">
        <v>127</v>
      </c>
      <c r="BA105" s="3"/>
      <c r="BB105" s="3"/>
      <c r="BC105" s="3"/>
      <c r="BD105" s="3">
        <v>0</v>
      </c>
    </row>
    <row r="106" spans="2:56" x14ac:dyDescent="0.25">
      <c r="C106">
        <v>4</v>
      </c>
      <c r="D106" t="s">
        <v>128</v>
      </c>
      <c r="E106" s="3"/>
      <c r="F106" s="3"/>
      <c r="G106" s="3"/>
      <c r="H106" s="3">
        <v>13.235713499999999</v>
      </c>
      <c r="N106">
        <v>5</v>
      </c>
      <c r="O106" t="s">
        <v>127</v>
      </c>
      <c r="P106" s="3"/>
      <c r="Q106" s="3"/>
      <c r="R106" s="3"/>
      <c r="S106" s="3">
        <v>9.8413249999999994</v>
      </c>
      <c r="W106">
        <v>4</v>
      </c>
      <c r="X106" t="s">
        <v>128</v>
      </c>
      <c r="Y106" s="3"/>
      <c r="Z106" s="3"/>
      <c r="AA106" s="3">
        <v>0</v>
      </c>
      <c r="AP106" t="s">
        <v>128</v>
      </c>
      <c r="AQ106" s="3"/>
      <c r="AR106" s="3"/>
      <c r="AS106" s="3"/>
      <c r="AT106" s="3">
        <v>0.2</v>
      </c>
      <c r="AZ106" t="s">
        <v>128</v>
      </c>
      <c r="BA106" s="3"/>
      <c r="BB106" s="3"/>
      <c r="BC106" s="3"/>
      <c r="BD106" s="3">
        <v>1.4160999999999999</v>
      </c>
    </row>
    <row r="107" spans="2:56" x14ac:dyDescent="0.25">
      <c r="C107">
        <v>5</v>
      </c>
      <c r="D107" t="s">
        <v>128</v>
      </c>
      <c r="E107" s="3"/>
      <c r="F107" s="3"/>
      <c r="G107" s="3"/>
      <c r="H107" s="3">
        <v>13.235713499999999</v>
      </c>
      <c r="O107" t="s">
        <v>128</v>
      </c>
      <c r="P107" s="3"/>
      <c r="Q107" s="3"/>
      <c r="R107" s="3"/>
      <c r="S107" s="3">
        <v>9.8421106391999995</v>
      </c>
      <c r="W107">
        <v>5</v>
      </c>
      <c r="X107" t="s">
        <v>127</v>
      </c>
      <c r="Y107" s="3"/>
      <c r="Z107" s="3"/>
      <c r="AA107" s="3">
        <v>19.334</v>
      </c>
      <c r="AO107">
        <v>3</v>
      </c>
      <c r="AP107" t="s">
        <v>127</v>
      </c>
      <c r="AQ107" s="3"/>
      <c r="AR107" s="3"/>
      <c r="AS107" s="3"/>
      <c r="AT107" s="3">
        <v>5.07</v>
      </c>
      <c r="AY107">
        <v>2</v>
      </c>
      <c r="AZ107" t="s">
        <v>127</v>
      </c>
      <c r="BA107" s="3"/>
      <c r="BB107" s="3"/>
      <c r="BC107" s="3"/>
      <c r="BD107" s="3">
        <v>0.10106800000000001</v>
      </c>
    </row>
    <row r="108" spans="2:56" x14ac:dyDescent="0.25">
      <c r="C108">
        <v>6</v>
      </c>
      <c r="D108" t="s">
        <v>128</v>
      </c>
      <c r="E108" s="3"/>
      <c r="F108" s="3"/>
      <c r="G108" s="3"/>
      <c r="H108" s="3">
        <v>13.235713499999999</v>
      </c>
      <c r="N108">
        <v>6</v>
      </c>
      <c r="O108" t="s">
        <v>128</v>
      </c>
      <c r="P108" s="3"/>
      <c r="Q108" s="3"/>
      <c r="R108" s="3"/>
      <c r="S108" s="3">
        <v>11.809588000000002</v>
      </c>
      <c r="X108" t="s">
        <v>128</v>
      </c>
      <c r="Y108" s="3"/>
      <c r="Z108" s="3"/>
      <c r="AA108" s="3">
        <v>0</v>
      </c>
      <c r="AP108" t="s">
        <v>128</v>
      </c>
      <c r="AQ108" s="3"/>
      <c r="AR108" s="3"/>
      <c r="AS108" s="3"/>
      <c r="AT108" s="3">
        <v>0.2</v>
      </c>
      <c r="AZ108" t="s">
        <v>128</v>
      </c>
      <c r="BA108" s="3"/>
      <c r="BB108" s="3"/>
      <c r="BC108" s="3"/>
      <c r="BD108" s="3">
        <v>2.8338999999999999</v>
      </c>
    </row>
    <row r="109" spans="2:56" x14ac:dyDescent="0.25">
      <c r="C109">
        <v>12</v>
      </c>
      <c r="D109" t="s">
        <v>127</v>
      </c>
      <c r="E109" s="3">
        <v>3.986307</v>
      </c>
      <c r="F109" s="3">
        <v>32.357060999999995</v>
      </c>
      <c r="G109" s="3">
        <v>0.64710833999999995</v>
      </c>
      <c r="H109" s="3"/>
      <c r="N109">
        <v>12</v>
      </c>
      <c r="O109" t="s">
        <v>127</v>
      </c>
      <c r="P109" s="3">
        <v>32.149307999999998</v>
      </c>
      <c r="Q109" s="3">
        <v>34.957436000000001</v>
      </c>
      <c r="R109" s="3">
        <v>30.630747999999997</v>
      </c>
      <c r="S109" s="3"/>
      <c r="W109">
        <v>6</v>
      </c>
      <c r="X109" t="s">
        <v>128</v>
      </c>
      <c r="Y109" s="3"/>
      <c r="Z109" s="3"/>
      <c r="AA109" s="3">
        <v>24.99945</v>
      </c>
      <c r="AO109">
        <v>4</v>
      </c>
      <c r="AP109" t="s">
        <v>127</v>
      </c>
      <c r="AQ109" s="3"/>
      <c r="AR109" s="3"/>
      <c r="AS109" s="3"/>
      <c r="AT109" s="3">
        <v>6.77</v>
      </c>
      <c r="AY109">
        <v>3</v>
      </c>
      <c r="AZ109" t="s">
        <v>127</v>
      </c>
      <c r="BA109" s="3"/>
      <c r="BB109" s="3"/>
      <c r="BC109" s="3"/>
      <c r="BD109" s="3">
        <v>1.4271590000000001</v>
      </c>
    </row>
    <row r="110" spans="2:56" x14ac:dyDescent="0.25">
      <c r="D110" t="s">
        <v>128</v>
      </c>
      <c r="E110" s="3"/>
      <c r="F110" s="3"/>
      <c r="G110" s="3"/>
      <c r="H110" s="3">
        <v>13.542444</v>
      </c>
      <c r="O110" t="s">
        <v>128</v>
      </c>
      <c r="P110" s="3"/>
      <c r="Q110" s="3"/>
      <c r="R110" s="3"/>
      <c r="S110" s="3">
        <v>23.619176000000003</v>
      </c>
      <c r="W110">
        <v>12</v>
      </c>
      <c r="X110" t="s">
        <v>128</v>
      </c>
      <c r="Y110" s="3"/>
      <c r="Z110" s="3"/>
      <c r="AA110" s="3">
        <v>43.5</v>
      </c>
      <c r="AP110" t="s">
        <v>128</v>
      </c>
      <c r="AQ110" s="3"/>
      <c r="AR110" s="3"/>
      <c r="AS110" s="3"/>
      <c r="AT110" s="3">
        <v>0.2</v>
      </c>
      <c r="AZ110" t="s">
        <v>128</v>
      </c>
      <c r="BA110" s="3"/>
      <c r="BB110" s="3"/>
      <c r="BC110" s="3"/>
      <c r="BD110" s="3">
        <v>4.25</v>
      </c>
    </row>
    <row r="111" spans="2:56" x14ac:dyDescent="0.25">
      <c r="B111" t="s">
        <v>109</v>
      </c>
      <c r="C111">
        <v>1</v>
      </c>
      <c r="D111" t="s">
        <v>127</v>
      </c>
      <c r="E111" s="3"/>
      <c r="F111" s="3"/>
      <c r="G111" s="3"/>
      <c r="H111" s="3">
        <v>13.805999999999999</v>
      </c>
      <c r="L111" t="s">
        <v>153</v>
      </c>
      <c r="M111" t="s">
        <v>188</v>
      </c>
      <c r="N111">
        <v>1</v>
      </c>
      <c r="O111" t="s">
        <v>128</v>
      </c>
      <c r="P111" s="3"/>
      <c r="Q111" s="3"/>
      <c r="R111" s="3"/>
      <c r="S111" s="3">
        <v>0.88735849999999994</v>
      </c>
      <c r="U111" t="s">
        <v>439</v>
      </c>
      <c r="V111" t="s">
        <v>106</v>
      </c>
      <c r="W111">
        <v>1</v>
      </c>
      <c r="X111" t="s">
        <v>127</v>
      </c>
      <c r="Y111" s="3"/>
      <c r="Z111" s="3"/>
      <c r="AA111" s="3">
        <v>10.414873</v>
      </c>
      <c r="AO111">
        <v>5</v>
      </c>
      <c r="AP111" t="s">
        <v>127</v>
      </c>
      <c r="AQ111" s="3"/>
      <c r="AR111" s="3"/>
      <c r="AS111" s="3"/>
      <c r="AT111" s="3">
        <v>6.83</v>
      </c>
      <c r="AY111">
        <v>4</v>
      </c>
      <c r="AZ111" t="s">
        <v>127</v>
      </c>
      <c r="BA111" s="3"/>
      <c r="BB111" s="3"/>
      <c r="BC111" s="3"/>
      <c r="BD111" s="3">
        <v>1.4271590000000001</v>
      </c>
    </row>
    <row r="112" spans="2:56" x14ac:dyDescent="0.25">
      <c r="D112" t="s">
        <v>128</v>
      </c>
      <c r="E112" s="3"/>
      <c r="F112" s="3"/>
      <c r="G112" s="3"/>
      <c r="H112" s="3">
        <v>50.758559901771612</v>
      </c>
      <c r="N112">
        <v>2</v>
      </c>
      <c r="O112" t="s">
        <v>128</v>
      </c>
      <c r="P112" s="3"/>
      <c r="Q112" s="3"/>
      <c r="R112" s="3"/>
      <c r="S112" s="3">
        <v>5.5373414999999993</v>
      </c>
      <c r="X112" t="s">
        <v>128</v>
      </c>
      <c r="Y112" s="3"/>
      <c r="Z112" s="3"/>
      <c r="AA112" s="3">
        <v>11.185778598119999</v>
      </c>
      <c r="AP112" t="s">
        <v>128</v>
      </c>
      <c r="AQ112" s="3"/>
      <c r="AR112" s="3"/>
      <c r="AS112" s="3"/>
      <c r="AT112" s="3">
        <v>15.45</v>
      </c>
      <c r="AZ112" t="s">
        <v>128</v>
      </c>
      <c r="BA112" s="3"/>
      <c r="BB112" s="3"/>
      <c r="BC112" s="3"/>
      <c r="BD112" s="3">
        <v>5.6661000000000001</v>
      </c>
    </row>
    <row r="113" spans="2:56" x14ac:dyDescent="0.25">
      <c r="C113">
        <v>2</v>
      </c>
      <c r="D113" t="s">
        <v>127</v>
      </c>
      <c r="E113" s="3"/>
      <c r="F113" s="3"/>
      <c r="G113" s="3"/>
      <c r="H113" s="3">
        <v>67.839589000000004</v>
      </c>
      <c r="N113">
        <v>3</v>
      </c>
      <c r="O113" t="s">
        <v>128</v>
      </c>
      <c r="P113" s="3"/>
      <c r="Q113" s="3"/>
      <c r="R113" s="3"/>
      <c r="S113" s="3">
        <v>5.5373414999999993</v>
      </c>
      <c r="W113">
        <v>2</v>
      </c>
      <c r="X113" t="s">
        <v>127</v>
      </c>
      <c r="Y113" s="3"/>
      <c r="Z113" s="3"/>
      <c r="AA113" s="3">
        <v>21.565750999999999</v>
      </c>
      <c r="AO113">
        <v>6</v>
      </c>
      <c r="AP113" t="s">
        <v>128</v>
      </c>
      <c r="AQ113" s="3"/>
      <c r="AR113" s="3"/>
      <c r="AS113" s="3"/>
      <c r="AT113" s="3">
        <v>17.324999999999999</v>
      </c>
      <c r="AY113">
        <v>5</v>
      </c>
      <c r="AZ113" t="s">
        <v>127</v>
      </c>
      <c r="BA113" s="3"/>
      <c r="BB113" s="3"/>
      <c r="BC113" s="3"/>
      <c r="BD113" s="3">
        <v>2.7359819999999999</v>
      </c>
    </row>
    <row r="114" spans="2:56" x14ac:dyDescent="0.25">
      <c r="D114" t="s">
        <v>128</v>
      </c>
      <c r="E114" s="3"/>
      <c r="F114" s="3"/>
      <c r="G114" s="3"/>
      <c r="H114" s="3">
        <v>105.32149066097348</v>
      </c>
      <c r="N114">
        <v>4</v>
      </c>
      <c r="O114" t="s">
        <v>128</v>
      </c>
      <c r="P114" s="3"/>
      <c r="Q114" s="3"/>
      <c r="R114" s="3"/>
      <c r="S114" s="3">
        <v>5.5373414999999993</v>
      </c>
      <c r="X114" t="s">
        <v>128</v>
      </c>
      <c r="Y114" s="3"/>
      <c r="Z114" s="3"/>
      <c r="AA114" s="3">
        <v>22.371557196239998</v>
      </c>
      <c r="AO114">
        <v>12</v>
      </c>
      <c r="AP114" t="s">
        <v>127</v>
      </c>
      <c r="AQ114" s="3">
        <v>28.165391</v>
      </c>
      <c r="AR114" s="3">
        <v>33.893836</v>
      </c>
      <c r="AS114" s="3">
        <v>25.334573000000002</v>
      </c>
      <c r="AT114" s="3"/>
      <c r="AZ114" t="s">
        <v>128</v>
      </c>
      <c r="BA114" s="3"/>
      <c r="BB114" s="3"/>
      <c r="BC114" s="3"/>
      <c r="BD114" s="3">
        <v>7.0838999999999999</v>
      </c>
    </row>
    <row r="115" spans="2:56" x14ac:dyDescent="0.25">
      <c r="C115">
        <v>3</v>
      </c>
      <c r="D115" t="s">
        <v>127</v>
      </c>
      <c r="E115" s="3"/>
      <c r="F115" s="3"/>
      <c r="G115" s="3"/>
      <c r="H115" s="3">
        <v>107.004036</v>
      </c>
      <c r="N115">
        <v>5</v>
      </c>
      <c r="O115" t="s">
        <v>128</v>
      </c>
      <c r="P115" s="3"/>
      <c r="Q115" s="3"/>
      <c r="R115" s="3"/>
      <c r="S115" s="3">
        <v>5.5373414999999993</v>
      </c>
      <c r="W115">
        <v>3</v>
      </c>
      <c r="X115" t="s">
        <v>127</v>
      </c>
      <c r="Y115" s="3"/>
      <c r="Z115" s="3"/>
      <c r="AA115" s="3">
        <v>32.703546000000003</v>
      </c>
      <c r="AP115" t="s">
        <v>128</v>
      </c>
      <c r="AQ115" s="3"/>
      <c r="AR115" s="3"/>
      <c r="AS115" s="3"/>
      <c r="AT115" s="3">
        <v>34.65</v>
      </c>
      <c r="AY115">
        <v>6</v>
      </c>
      <c r="AZ115" t="s">
        <v>128</v>
      </c>
      <c r="BA115" s="3"/>
      <c r="BB115" s="3"/>
      <c r="BC115" s="3"/>
      <c r="BD115" s="3">
        <v>8.5</v>
      </c>
    </row>
    <row r="116" spans="2:56" x14ac:dyDescent="0.25">
      <c r="D116" t="s">
        <v>128</v>
      </c>
      <c r="E116" s="3"/>
      <c r="F116" s="3"/>
      <c r="G116" s="3"/>
      <c r="H116" s="3">
        <v>155.2033155002369</v>
      </c>
      <c r="N116">
        <v>6</v>
      </c>
      <c r="O116" t="s">
        <v>128</v>
      </c>
      <c r="P116" s="3"/>
      <c r="Q116" s="3"/>
      <c r="R116" s="3"/>
      <c r="S116" s="3">
        <v>5.5373414999999993</v>
      </c>
      <c r="X116" t="s">
        <v>128</v>
      </c>
      <c r="Y116" s="3"/>
      <c r="Z116" s="3"/>
      <c r="AA116" s="3">
        <v>33.55733579436</v>
      </c>
      <c r="AN116" t="s">
        <v>118</v>
      </c>
      <c r="AO116">
        <v>1</v>
      </c>
      <c r="AP116" t="s">
        <v>127</v>
      </c>
      <c r="AQ116" s="3"/>
      <c r="AR116" s="3"/>
      <c r="AS116" s="3"/>
      <c r="AT116" s="3">
        <v>111.035312</v>
      </c>
      <c r="AY116">
        <v>12</v>
      </c>
      <c r="AZ116" t="s">
        <v>127</v>
      </c>
      <c r="BA116" s="3">
        <v>8.6306030000000007</v>
      </c>
      <c r="BB116" s="3">
        <v>14.958639</v>
      </c>
      <c r="BC116" s="3">
        <v>19.227972999999999</v>
      </c>
      <c r="BD116" s="3"/>
    </row>
    <row r="117" spans="2:56" x14ac:dyDescent="0.25">
      <c r="C117">
        <v>4</v>
      </c>
      <c r="D117" t="s">
        <v>127</v>
      </c>
      <c r="E117" s="3"/>
      <c r="F117" s="3"/>
      <c r="G117" s="3"/>
      <c r="H117" s="3">
        <v>172.54332399999998</v>
      </c>
      <c r="N117">
        <v>12</v>
      </c>
      <c r="O117" t="s">
        <v>127</v>
      </c>
      <c r="P117" s="3">
        <v>167.19371599999999</v>
      </c>
      <c r="Q117" s="3">
        <v>0.40960000000000002</v>
      </c>
      <c r="R117" s="3">
        <v>0.28671099999999999</v>
      </c>
      <c r="S117" s="3"/>
      <c r="W117">
        <v>4</v>
      </c>
      <c r="X117" t="s">
        <v>127</v>
      </c>
      <c r="Y117" s="3"/>
      <c r="Z117" s="3"/>
      <c r="AA117" s="3">
        <v>44.132469</v>
      </c>
      <c r="AP117" t="s">
        <v>128</v>
      </c>
      <c r="AQ117" s="3"/>
      <c r="AR117" s="3"/>
      <c r="AS117" s="3"/>
      <c r="AT117" s="3">
        <v>86.458480221543368</v>
      </c>
      <c r="AZ117" t="s">
        <v>128</v>
      </c>
      <c r="BA117" s="3"/>
      <c r="BB117" s="3"/>
      <c r="BC117" s="3"/>
      <c r="BD117" s="3">
        <v>17</v>
      </c>
    </row>
    <row r="118" spans="2:56" x14ac:dyDescent="0.25">
      <c r="D118" t="s">
        <v>128</v>
      </c>
      <c r="E118" s="3"/>
      <c r="F118" s="3"/>
      <c r="G118" s="3"/>
      <c r="H118" s="3">
        <v>206.68722658569408</v>
      </c>
      <c r="O118" t="s">
        <v>128</v>
      </c>
      <c r="P118" s="3"/>
      <c r="Q118" s="3"/>
      <c r="R118" s="3"/>
      <c r="S118" s="3">
        <v>11.247499999999999</v>
      </c>
      <c r="X118" t="s">
        <v>128</v>
      </c>
      <c r="Y118" s="3"/>
      <c r="Z118" s="3"/>
      <c r="AA118" s="3">
        <v>44.743114392479995</v>
      </c>
      <c r="AO118">
        <v>2</v>
      </c>
      <c r="AP118" t="s">
        <v>127</v>
      </c>
      <c r="AQ118" s="3"/>
      <c r="AR118" s="3"/>
      <c r="AS118" s="3"/>
      <c r="AT118" s="3">
        <v>216.33434600000001</v>
      </c>
      <c r="AW118" t="s">
        <v>160</v>
      </c>
      <c r="AX118" t="s">
        <v>195</v>
      </c>
      <c r="AY118">
        <v>1</v>
      </c>
      <c r="AZ118" t="s">
        <v>127</v>
      </c>
      <c r="BA118" s="3"/>
      <c r="BB118" s="3"/>
      <c r="BC118" s="3"/>
      <c r="BD118" s="3">
        <v>5.012975</v>
      </c>
    </row>
    <row r="119" spans="2:56" x14ac:dyDescent="0.25">
      <c r="C119">
        <v>5</v>
      </c>
      <c r="D119" t="s">
        <v>127</v>
      </c>
      <c r="E119" s="3"/>
      <c r="F119" s="3"/>
      <c r="G119" s="3"/>
      <c r="H119" s="3">
        <v>211.14066599999998</v>
      </c>
      <c r="L119" t="s">
        <v>154</v>
      </c>
      <c r="M119" t="s">
        <v>189</v>
      </c>
      <c r="N119">
        <v>1</v>
      </c>
      <c r="O119" t="s">
        <v>127</v>
      </c>
      <c r="P119" s="3"/>
      <c r="Q119" s="3"/>
      <c r="R119" s="3"/>
      <c r="S119" s="3">
        <v>1.657897</v>
      </c>
      <c r="W119">
        <v>5</v>
      </c>
      <c r="X119" t="s">
        <v>127</v>
      </c>
      <c r="Y119" s="3"/>
      <c r="Z119" s="3"/>
      <c r="AA119" s="3">
        <v>56.531407000000002</v>
      </c>
      <c r="AP119" t="s">
        <v>128</v>
      </c>
      <c r="AQ119" s="3"/>
      <c r="AR119" s="3"/>
      <c r="AS119" s="3"/>
      <c r="AT119" s="3">
        <v>172.91696044308674</v>
      </c>
      <c r="AZ119" t="s">
        <v>128</v>
      </c>
      <c r="BA119" s="3"/>
      <c r="BB119" s="3"/>
      <c r="BC119" s="3"/>
      <c r="BD119" s="3">
        <v>3.8779633894314687</v>
      </c>
    </row>
    <row r="120" spans="2:56" x14ac:dyDescent="0.25">
      <c r="D120" t="s">
        <v>128</v>
      </c>
      <c r="E120" s="3"/>
      <c r="F120" s="3"/>
      <c r="G120" s="3"/>
      <c r="H120" s="3">
        <v>257.69747745969363</v>
      </c>
      <c r="O120" t="s">
        <v>128</v>
      </c>
      <c r="P120" s="3"/>
      <c r="Q120" s="3"/>
      <c r="R120" s="3"/>
      <c r="S120" s="3">
        <v>1.6572337579</v>
      </c>
      <c r="X120" t="s">
        <v>128</v>
      </c>
      <c r="Y120" s="3"/>
      <c r="Z120" s="3"/>
      <c r="AA120" s="3">
        <v>55.928892990599991</v>
      </c>
      <c r="AO120">
        <v>3</v>
      </c>
      <c r="AP120" t="s">
        <v>127</v>
      </c>
      <c r="AQ120" s="3"/>
      <c r="AR120" s="3"/>
      <c r="AS120" s="3"/>
      <c r="AT120" s="3">
        <v>321.02197899999999</v>
      </c>
      <c r="AY120">
        <v>2</v>
      </c>
      <c r="AZ120" t="s">
        <v>127</v>
      </c>
      <c r="BA120" s="3"/>
      <c r="BB120" s="3"/>
      <c r="BC120" s="3"/>
      <c r="BD120" s="3">
        <v>9.9219939999999998</v>
      </c>
    </row>
    <row r="121" spans="2:56" x14ac:dyDescent="0.25">
      <c r="C121">
        <v>6</v>
      </c>
      <c r="D121" t="s">
        <v>128</v>
      </c>
      <c r="E121" s="3"/>
      <c r="F121" s="3"/>
      <c r="G121" s="3"/>
      <c r="H121" s="3">
        <v>317.42296382054013</v>
      </c>
      <c r="N121">
        <v>2</v>
      </c>
      <c r="O121" t="s">
        <v>127</v>
      </c>
      <c r="P121" s="3"/>
      <c r="Q121" s="3"/>
      <c r="R121" s="3"/>
      <c r="S121" s="3">
        <v>3.3157939999999999</v>
      </c>
      <c r="W121">
        <v>6</v>
      </c>
      <c r="X121" t="s">
        <v>128</v>
      </c>
      <c r="Y121" s="3"/>
      <c r="Z121" s="3"/>
      <c r="AA121" s="3">
        <v>67.11467158872</v>
      </c>
      <c r="AP121" t="s">
        <v>128</v>
      </c>
      <c r="AQ121" s="3"/>
      <c r="AR121" s="3"/>
      <c r="AS121" s="3"/>
      <c r="AT121" s="3">
        <v>259.3754406646301</v>
      </c>
      <c r="AZ121" t="s">
        <v>128</v>
      </c>
      <c r="BA121" s="3"/>
      <c r="BB121" s="3"/>
      <c r="BC121" s="3"/>
      <c r="BD121" s="3">
        <v>7.7607143879856926</v>
      </c>
    </row>
    <row r="122" spans="2:56" x14ac:dyDescent="0.25">
      <c r="C122">
        <v>12</v>
      </c>
      <c r="D122" t="s">
        <v>127</v>
      </c>
      <c r="E122" s="3">
        <v>693.69240538999998</v>
      </c>
      <c r="F122" s="3">
        <v>785.03042556879984</v>
      </c>
      <c r="G122" s="3">
        <v>953.62492500000008</v>
      </c>
      <c r="H122" s="3"/>
      <c r="O122" t="s">
        <v>128</v>
      </c>
      <c r="P122" s="3"/>
      <c r="Q122" s="3"/>
      <c r="R122" s="3"/>
      <c r="S122" s="3">
        <v>3.3164569920999996</v>
      </c>
      <c r="W122">
        <v>12</v>
      </c>
      <c r="X122" t="s">
        <v>128</v>
      </c>
      <c r="Y122" s="3"/>
      <c r="Z122" s="3"/>
      <c r="AA122" s="3">
        <v>134.28305639999999</v>
      </c>
      <c r="AO122">
        <v>4</v>
      </c>
      <c r="AP122" t="s">
        <v>127</v>
      </c>
      <c r="AQ122" s="3"/>
      <c r="AR122" s="3"/>
      <c r="AS122" s="3"/>
      <c r="AT122" s="3">
        <v>426.82927899999999</v>
      </c>
      <c r="AY122">
        <v>3</v>
      </c>
      <c r="AZ122" t="s">
        <v>127</v>
      </c>
      <c r="BA122" s="3"/>
      <c r="BB122" s="3"/>
      <c r="BC122" s="3"/>
      <c r="BD122" s="3">
        <v>14.847199</v>
      </c>
    </row>
    <row r="123" spans="2:56" x14ac:dyDescent="0.25">
      <c r="D123" t="s">
        <v>128</v>
      </c>
      <c r="E123" s="3"/>
      <c r="F123" s="3"/>
      <c r="G123" s="3"/>
      <c r="H123" s="3">
        <v>643.17407850228301</v>
      </c>
      <c r="N123">
        <v>3</v>
      </c>
      <c r="O123" t="s">
        <v>127</v>
      </c>
      <c r="P123" s="3"/>
      <c r="Q123" s="3"/>
      <c r="R123" s="3"/>
      <c r="S123" s="3">
        <v>4.9736909999999996</v>
      </c>
      <c r="V123" t="s">
        <v>108</v>
      </c>
      <c r="W123">
        <v>1</v>
      </c>
      <c r="X123" t="s">
        <v>128</v>
      </c>
      <c r="Y123" s="3"/>
      <c r="Z123" s="3"/>
      <c r="AA123" s="3">
        <v>0</v>
      </c>
      <c r="AP123" t="s">
        <v>128</v>
      </c>
      <c r="AQ123" s="3"/>
      <c r="AR123" s="3"/>
      <c r="AS123" s="3"/>
      <c r="AT123" s="3">
        <v>345.83392088617347</v>
      </c>
      <c r="AZ123" t="s">
        <v>128</v>
      </c>
      <c r="BA123" s="3"/>
      <c r="BB123" s="3"/>
      <c r="BC123" s="3"/>
      <c r="BD123" s="3">
        <v>11.638677777417163</v>
      </c>
    </row>
    <row r="124" spans="2:56" x14ac:dyDescent="0.25">
      <c r="B124" t="s">
        <v>111</v>
      </c>
      <c r="C124">
        <v>1</v>
      </c>
      <c r="D124" t="s">
        <v>128</v>
      </c>
      <c r="E124" s="3"/>
      <c r="F124" s="3"/>
      <c r="G124" s="3"/>
      <c r="H124" s="3">
        <v>0</v>
      </c>
      <c r="O124" t="s">
        <v>128</v>
      </c>
      <c r="P124" s="3"/>
      <c r="Q124" s="3"/>
      <c r="R124" s="3"/>
      <c r="S124" s="3">
        <v>4.9736907500000003</v>
      </c>
      <c r="W124">
        <v>2</v>
      </c>
      <c r="X124" t="s">
        <v>128</v>
      </c>
      <c r="Y124" s="3"/>
      <c r="Z124" s="3"/>
      <c r="AA124" s="3">
        <v>0</v>
      </c>
      <c r="AO124">
        <v>5</v>
      </c>
      <c r="AP124" t="s">
        <v>127</v>
      </c>
      <c r="AQ124" s="3"/>
      <c r="AR124" s="3"/>
      <c r="AS124" s="3"/>
      <c r="AT124" s="3">
        <v>529.38649299999997</v>
      </c>
      <c r="AY124">
        <v>4</v>
      </c>
      <c r="AZ124" t="s">
        <v>127</v>
      </c>
      <c r="BA124" s="3"/>
      <c r="BB124" s="3"/>
      <c r="BC124" s="3"/>
      <c r="BD124" s="3">
        <v>19.754342999999999</v>
      </c>
    </row>
    <row r="125" spans="2:56" x14ac:dyDescent="0.25">
      <c r="C125">
        <v>2</v>
      </c>
      <c r="D125" t="s">
        <v>127</v>
      </c>
      <c r="E125" s="3"/>
      <c r="F125" s="3"/>
      <c r="G125" s="3"/>
      <c r="H125" s="3">
        <v>14.221067</v>
      </c>
      <c r="N125">
        <v>4</v>
      </c>
      <c r="O125" t="s">
        <v>127</v>
      </c>
      <c r="P125" s="3"/>
      <c r="Q125" s="3"/>
      <c r="R125" s="3"/>
      <c r="S125" s="3">
        <v>6.6315879999999998</v>
      </c>
      <c r="W125">
        <v>3</v>
      </c>
      <c r="X125" t="s">
        <v>128</v>
      </c>
      <c r="Y125" s="3"/>
      <c r="Z125" s="3"/>
      <c r="AA125" s="3">
        <v>0</v>
      </c>
      <c r="AP125" t="s">
        <v>128</v>
      </c>
      <c r="AQ125" s="3"/>
      <c r="AR125" s="3"/>
      <c r="AS125" s="3"/>
      <c r="AT125" s="3">
        <v>432.29240110771678</v>
      </c>
      <c r="AZ125" t="s">
        <v>128</v>
      </c>
      <c r="BA125" s="3"/>
      <c r="BB125" s="3"/>
      <c r="BC125" s="3"/>
      <c r="BD125" s="3">
        <v>15.511853557725875</v>
      </c>
    </row>
    <row r="126" spans="2:56" x14ac:dyDescent="0.25">
      <c r="D126" t="s">
        <v>128</v>
      </c>
      <c r="E126" s="3"/>
      <c r="F126" s="3"/>
      <c r="G126" s="3"/>
      <c r="H126" s="3">
        <v>9.4939233749999996</v>
      </c>
      <c r="O126" t="s">
        <v>128</v>
      </c>
      <c r="P126" s="3"/>
      <c r="Q126" s="3"/>
      <c r="R126" s="3"/>
      <c r="S126" s="3">
        <v>6.6309245078999997</v>
      </c>
      <c r="W126">
        <v>4</v>
      </c>
      <c r="X126" t="s">
        <v>128</v>
      </c>
      <c r="Y126" s="3"/>
      <c r="Z126" s="3"/>
      <c r="AA126" s="3">
        <v>0</v>
      </c>
      <c r="AO126">
        <v>6</v>
      </c>
      <c r="AP126" t="s">
        <v>128</v>
      </c>
      <c r="AQ126" s="3"/>
      <c r="AR126" s="3"/>
      <c r="AS126" s="3"/>
      <c r="AT126" s="3">
        <v>518.75088132926021</v>
      </c>
      <c r="AY126">
        <v>5</v>
      </c>
      <c r="AZ126" t="s">
        <v>127</v>
      </c>
      <c r="BA126" s="3"/>
      <c r="BB126" s="3"/>
      <c r="BC126" s="3"/>
      <c r="BD126" s="3">
        <v>24.426766000000001</v>
      </c>
    </row>
    <row r="127" spans="2:56" x14ac:dyDescent="0.25">
      <c r="C127">
        <v>3</v>
      </c>
      <c r="D127" t="s">
        <v>127</v>
      </c>
      <c r="E127" s="3"/>
      <c r="F127" s="3"/>
      <c r="G127" s="3"/>
      <c r="H127" s="3">
        <v>26.689864499999999</v>
      </c>
      <c r="N127">
        <v>5</v>
      </c>
      <c r="O127" t="s">
        <v>127</v>
      </c>
      <c r="P127" s="3"/>
      <c r="Q127" s="3"/>
      <c r="R127" s="3"/>
      <c r="S127" s="3">
        <v>8.2894849999999991</v>
      </c>
      <c r="W127">
        <v>5</v>
      </c>
      <c r="X127" t="s">
        <v>128</v>
      </c>
      <c r="Y127" s="3"/>
      <c r="Z127" s="3"/>
      <c r="AA127" s="3">
        <v>0</v>
      </c>
      <c r="AO127">
        <v>12</v>
      </c>
      <c r="AP127" t="s">
        <v>127</v>
      </c>
      <c r="AQ127" s="3">
        <v>1182.952</v>
      </c>
      <c r="AR127" s="3">
        <v>1217.620846</v>
      </c>
      <c r="AS127" s="3">
        <v>1127.2758329999999</v>
      </c>
      <c r="AT127" s="3"/>
      <c r="AZ127" t="s">
        <v>128</v>
      </c>
      <c r="BA127" s="3"/>
      <c r="BB127" s="3"/>
      <c r="BC127" s="3"/>
      <c r="BD127" s="3">
        <v>20.151046797675374</v>
      </c>
    </row>
    <row r="128" spans="2:56" x14ac:dyDescent="0.25">
      <c r="D128" t="s">
        <v>128</v>
      </c>
      <c r="E128" s="3"/>
      <c r="F128" s="3"/>
      <c r="G128" s="3"/>
      <c r="H128" s="3">
        <v>19.128846750000001</v>
      </c>
      <c r="O128" t="s">
        <v>128</v>
      </c>
      <c r="P128" s="3"/>
      <c r="Q128" s="3"/>
      <c r="R128" s="3"/>
      <c r="S128" s="3">
        <v>8.2901477421000003</v>
      </c>
      <c r="W128">
        <v>6</v>
      </c>
      <c r="X128" t="s">
        <v>128</v>
      </c>
      <c r="Y128" s="3"/>
      <c r="Z128" s="3"/>
      <c r="AA128" s="3">
        <v>0</v>
      </c>
      <c r="AP128" t="s">
        <v>128</v>
      </c>
      <c r="AQ128" s="3"/>
      <c r="AR128" s="3"/>
      <c r="AS128" s="3"/>
      <c r="AT128" s="3">
        <v>1029.26762168504</v>
      </c>
      <c r="AY128">
        <v>6</v>
      </c>
      <c r="AZ128" t="s">
        <v>128</v>
      </c>
      <c r="BA128" s="3"/>
      <c r="BB128" s="3"/>
      <c r="BC128" s="3"/>
      <c r="BD128" s="3">
        <v>24.119974760439185</v>
      </c>
    </row>
    <row r="129" spans="2:56" x14ac:dyDescent="0.25">
      <c r="C129">
        <v>4</v>
      </c>
      <c r="D129" t="s">
        <v>127</v>
      </c>
      <c r="E129" s="3"/>
      <c r="F129" s="3"/>
      <c r="G129" s="3"/>
      <c r="H129" s="3">
        <v>34.756322500000003</v>
      </c>
      <c r="N129">
        <v>6</v>
      </c>
      <c r="O129" t="s">
        <v>128</v>
      </c>
      <c r="P129" s="3"/>
      <c r="Q129" s="3"/>
      <c r="R129" s="3"/>
      <c r="S129" s="3">
        <v>9.9473815000000005</v>
      </c>
      <c r="W129">
        <v>12</v>
      </c>
      <c r="X129" t="s">
        <v>128</v>
      </c>
      <c r="Y129" s="3"/>
      <c r="Z129" s="3"/>
      <c r="AA129" s="3">
        <v>0</v>
      </c>
      <c r="AN129" t="s">
        <v>120</v>
      </c>
      <c r="AO129">
        <v>1</v>
      </c>
      <c r="AP129" t="s">
        <v>128</v>
      </c>
      <c r="AQ129" s="3"/>
      <c r="AR129" s="3"/>
      <c r="AS129" s="3"/>
      <c r="AT129" s="3">
        <v>9.348987999999725E-4</v>
      </c>
      <c r="AY129">
        <v>12</v>
      </c>
      <c r="AZ129" t="s">
        <v>127</v>
      </c>
      <c r="BA129" s="3">
        <v>57.124009999999998</v>
      </c>
      <c r="BB129" s="3">
        <v>56.171042999999997</v>
      </c>
      <c r="BC129" s="3">
        <v>30.694944</v>
      </c>
      <c r="BD129" s="3"/>
    </row>
    <row r="130" spans="2:56" x14ac:dyDescent="0.25">
      <c r="D130" t="s">
        <v>128</v>
      </c>
      <c r="E130" s="3"/>
      <c r="F130" s="3"/>
      <c r="G130" s="3"/>
      <c r="H130" s="3">
        <v>48.622720125000001</v>
      </c>
      <c r="N130">
        <v>12</v>
      </c>
      <c r="O130" t="s">
        <v>127</v>
      </c>
      <c r="P130" s="3">
        <v>19.07094</v>
      </c>
      <c r="Q130" s="3">
        <v>20.807988999999999</v>
      </c>
      <c r="R130" s="3">
        <v>20.107907000000001</v>
      </c>
      <c r="S130" s="3"/>
      <c r="V130" t="s">
        <v>109</v>
      </c>
      <c r="W130">
        <v>1</v>
      </c>
      <c r="X130" t="s">
        <v>127</v>
      </c>
      <c r="Y130" s="3"/>
      <c r="Z130" s="3"/>
      <c r="AA130" s="3">
        <v>0.16750000000000001</v>
      </c>
      <c r="AO130">
        <v>2</v>
      </c>
      <c r="AP130" t="s">
        <v>128</v>
      </c>
      <c r="AQ130" s="3"/>
      <c r="AR130" s="3"/>
      <c r="AS130" s="3"/>
      <c r="AT130" s="3">
        <v>1.1507996000000853E-3</v>
      </c>
      <c r="AZ130" t="s">
        <v>128</v>
      </c>
      <c r="BA130" s="3"/>
      <c r="BB130" s="3"/>
      <c r="BC130" s="3"/>
      <c r="BD130" s="3">
        <v>47.876091227548997</v>
      </c>
    </row>
    <row r="131" spans="2:56" x14ac:dyDescent="0.25">
      <c r="C131">
        <v>5</v>
      </c>
      <c r="D131" t="s">
        <v>127</v>
      </c>
      <c r="E131" s="3"/>
      <c r="F131" s="3"/>
      <c r="G131" s="3"/>
      <c r="H131" s="3">
        <v>51.474470470000007</v>
      </c>
      <c r="O131" t="s">
        <v>128</v>
      </c>
      <c r="P131" s="3"/>
      <c r="Q131" s="3"/>
      <c r="R131" s="3"/>
      <c r="S131" s="3">
        <v>19.894763000000001</v>
      </c>
      <c r="X131" t="s">
        <v>128</v>
      </c>
      <c r="Y131" s="3"/>
      <c r="Z131" s="3"/>
      <c r="AA131" s="3">
        <v>3.6593295877999994</v>
      </c>
      <c r="AO131">
        <v>3</v>
      </c>
      <c r="AP131" t="s">
        <v>128</v>
      </c>
      <c r="AQ131" s="3"/>
      <c r="AR131" s="3"/>
      <c r="AS131" s="3"/>
      <c r="AT131" s="3">
        <v>1.3667003999999761E-3</v>
      </c>
      <c r="AW131" t="s">
        <v>163</v>
      </c>
      <c r="AX131" t="s">
        <v>198</v>
      </c>
      <c r="AY131">
        <v>1</v>
      </c>
      <c r="AZ131" t="s">
        <v>128</v>
      </c>
      <c r="BA131" s="3"/>
      <c r="BB131" s="3"/>
      <c r="BC131" s="3"/>
      <c r="BD131" s="3">
        <v>19.788735754899996</v>
      </c>
    </row>
    <row r="132" spans="2:56" x14ac:dyDescent="0.25">
      <c r="D132" t="s">
        <v>128</v>
      </c>
      <c r="E132" s="3"/>
      <c r="F132" s="3"/>
      <c r="G132" s="3"/>
      <c r="H132" s="3">
        <v>67.62791974999999</v>
      </c>
      <c r="L132" t="s">
        <v>155</v>
      </c>
      <c r="M132" t="s">
        <v>190</v>
      </c>
      <c r="N132">
        <v>1</v>
      </c>
      <c r="O132" t="s">
        <v>127</v>
      </c>
      <c r="P132" s="3"/>
      <c r="Q132" s="3"/>
      <c r="R132" s="3"/>
      <c r="S132" s="3">
        <v>3.365081</v>
      </c>
      <c r="W132">
        <v>2</v>
      </c>
      <c r="X132" t="s">
        <v>127</v>
      </c>
      <c r="Y132" s="3"/>
      <c r="Z132" s="3"/>
      <c r="AA132" s="3">
        <v>7.1960680000000004</v>
      </c>
      <c r="AO132">
        <v>4</v>
      </c>
      <c r="AP132" t="s">
        <v>128</v>
      </c>
      <c r="AQ132" s="3"/>
      <c r="AR132" s="3"/>
      <c r="AS132" s="3"/>
      <c r="AT132" s="3">
        <v>1.5826011999999778E-3</v>
      </c>
      <c r="AY132">
        <v>2</v>
      </c>
      <c r="AZ132" t="s">
        <v>127</v>
      </c>
      <c r="BA132" s="3"/>
      <c r="BB132" s="3"/>
      <c r="BC132" s="3"/>
      <c r="BD132" s="3">
        <v>35.204720000000002</v>
      </c>
    </row>
    <row r="133" spans="2:56" x14ac:dyDescent="0.25">
      <c r="C133">
        <v>6</v>
      </c>
      <c r="D133" t="s">
        <v>128</v>
      </c>
      <c r="E133" s="3"/>
      <c r="F133" s="3"/>
      <c r="G133" s="3"/>
      <c r="H133" s="3">
        <v>86.564466499999995</v>
      </c>
      <c r="O133" t="s">
        <v>128</v>
      </c>
      <c r="P133" s="3"/>
      <c r="Q133" s="3"/>
      <c r="R133" s="3"/>
      <c r="S133" s="3">
        <v>3.3637342178999998</v>
      </c>
      <c r="X133" t="s">
        <v>128</v>
      </c>
      <c r="Y133" s="3"/>
      <c r="Z133" s="3"/>
      <c r="AA133" s="3">
        <v>7.3726119122000009</v>
      </c>
      <c r="AO133">
        <v>5</v>
      </c>
      <c r="AP133" t="s">
        <v>128</v>
      </c>
      <c r="AQ133" s="3"/>
      <c r="AR133" s="3"/>
      <c r="AS133" s="3"/>
      <c r="AT133" s="3">
        <v>1.7980991999999585E-3</v>
      </c>
      <c r="AZ133" t="s">
        <v>128</v>
      </c>
      <c r="BA133" s="3"/>
      <c r="BB133" s="3"/>
      <c r="BC133" s="3"/>
      <c r="BD133" s="3">
        <v>39.601227495099991</v>
      </c>
    </row>
    <row r="134" spans="2:56" x14ac:dyDescent="0.25">
      <c r="C134">
        <v>12</v>
      </c>
      <c r="D134" t="s">
        <v>127</v>
      </c>
      <c r="E134" s="3">
        <v>267.58275391000001</v>
      </c>
      <c r="F134" s="3">
        <v>271.98681191000003</v>
      </c>
      <c r="G134" s="3">
        <v>153.03663301999998</v>
      </c>
      <c r="H134" s="3"/>
      <c r="N134">
        <v>2</v>
      </c>
      <c r="O134" t="s">
        <v>127</v>
      </c>
      <c r="P134" s="3"/>
      <c r="Q134" s="3"/>
      <c r="R134" s="3"/>
      <c r="S134" s="3">
        <v>6.730162</v>
      </c>
      <c r="W134">
        <v>3</v>
      </c>
      <c r="X134" t="s">
        <v>127</v>
      </c>
      <c r="Y134" s="3"/>
      <c r="Z134" s="3"/>
      <c r="AA134" s="3">
        <v>10.996991999999999</v>
      </c>
      <c r="AO134">
        <v>6</v>
      </c>
      <c r="AP134" t="s">
        <v>128</v>
      </c>
      <c r="AQ134" s="3"/>
      <c r="AR134" s="3"/>
      <c r="AS134" s="3"/>
      <c r="AT134" s="3">
        <v>2.0139999999999603E-3</v>
      </c>
      <c r="AY134">
        <v>3</v>
      </c>
      <c r="AZ134" t="s">
        <v>127</v>
      </c>
      <c r="BA134" s="3"/>
      <c r="BB134" s="3"/>
      <c r="BC134" s="3"/>
      <c r="BD134" s="3">
        <v>55.149946</v>
      </c>
    </row>
    <row r="135" spans="2:56" x14ac:dyDescent="0.25">
      <c r="D135" t="s">
        <v>128</v>
      </c>
      <c r="E135" s="3"/>
      <c r="F135" s="3"/>
      <c r="G135" s="3"/>
      <c r="H135" s="3">
        <v>157.936633</v>
      </c>
      <c r="O135" t="s">
        <v>128</v>
      </c>
      <c r="P135" s="3"/>
      <c r="Q135" s="3"/>
      <c r="R135" s="3"/>
      <c r="S135" s="3">
        <v>6.7274684357999996</v>
      </c>
      <c r="X135" t="s">
        <v>128</v>
      </c>
      <c r="Y135" s="3"/>
      <c r="Z135" s="3"/>
      <c r="AA135" s="3">
        <v>11.0817415</v>
      </c>
      <c r="AO135">
        <v>12</v>
      </c>
      <c r="AP135" t="s">
        <v>127</v>
      </c>
      <c r="AQ135" s="3">
        <v>4.7077159800000006</v>
      </c>
      <c r="AR135" s="3">
        <v>8.8149101600000002</v>
      </c>
      <c r="AS135" s="3">
        <v>2.74539307</v>
      </c>
      <c r="AT135" s="3"/>
      <c r="AZ135" t="s">
        <v>128</v>
      </c>
      <c r="BA135" s="3"/>
      <c r="BB135" s="3"/>
      <c r="BC135" s="3"/>
      <c r="BD135" s="3">
        <v>59.389963250000001</v>
      </c>
    </row>
    <row r="136" spans="2:56" x14ac:dyDescent="0.25">
      <c r="B136" t="s">
        <v>205</v>
      </c>
      <c r="C136">
        <v>1</v>
      </c>
      <c r="D136" t="s">
        <v>127</v>
      </c>
      <c r="E136" s="3"/>
      <c r="F136" s="3"/>
      <c r="G136" s="3"/>
      <c r="H136" s="3">
        <v>0.76422400000000001</v>
      </c>
      <c r="N136">
        <v>3</v>
      </c>
      <c r="O136" t="s">
        <v>127</v>
      </c>
      <c r="P136" s="3"/>
      <c r="Q136" s="3"/>
      <c r="R136" s="3"/>
      <c r="S136" s="3">
        <v>10.095243</v>
      </c>
      <c r="W136">
        <v>4</v>
      </c>
      <c r="X136" t="s">
        <v>127</v>
      </c>
      <c r="Y136" s="3"/>
      <c r="Z136" s="3"/>
      <c r="AA136" s="3">
        <v>13.608521</v>
      </c>
      <c r="AP136" t="s">
        <v>128</v>
      </c>
      <c r="AQ136" s="3"/>
      <c r="AR136" s="3"/>
      <c r="AS136" s="3"/>
      <c r="AT136" s="3">
        <v>4.0279999999999205E-3</v>
      </c>
      <c r="AY136">
        <v>4</v>
      </c>
      <c r="AZ136" t="s">
        <v>127</v>
      </c>
      <c r="BA136" s="3"/>
      <c r="BB136" s="3"/>
      <c r="BC136" s="3"/>
      <c r="BD136" s="3">
        <v>73.505627000000004</v>
      </c>
    </row>
    <row r="137" spans="2:56" x14ac:dyDescent="0.25">
      <c r="D137" t="s">
        <v>128</v>
      </c>
      <c r="E137" s="3"/>
      <c r="F137" s="3"/>
      <c r="G137" s="3"/>
      <c r="H137" s="3">
        <v>0.47436952825646855</v>
      </c>
      <c r="O137" t="s">
        <v>128</v>
      </c>
      <c r="P137" s="3"/>
      <c r="Q137" s="3"/>
      <c r="R137" s="3"/>
      <c r="S137" s="3">
        <v>10.091202653700002</v>
      </c>
      <c r="X137" t="s">
        <v>128</v>
      </c>
      <c r="Y137" s="3"/>
      <c r="Z137" s="3"/>
      <c r="AA137" s="3">
        <v>15.398723302585745</v>
      </c>
      <c r="AN137" t="s">
        <v>121</v>
      </c>
      <c r="AO137">
        <v>12</v>
      </c>
      <c r="AP137" t="s">
        <v>127</v>
      </c>
      <c r="AQ137" s="3">
        <v>2.6599999999999999E-2</v>
      </c>
      <c r="AR137" s="3"/>
      <c r="AS137" s="3"/>
      <c r="AT137" s="3"/>
      <c r="AZ137" t="s">
        <v>128</v>
      </c>
      <c r="BA137" s="3"/>
      <c r="BB137" s="3"/>
      <c r="BC137" s="3"/>
      <c r="BD137" s="3">
        <v>80.577063758882318</v>
      </c>
    </row>
    <row r="138" spans="2:56" x14ac:dyDescent="0.25">
      <c r="C138">
        <v>2</v>
      </c>
      <c r="D138" t="s">
        <v>127</v>
      </c>
      <c r="E138" s="3"/>
      <c r="F138" s="3"/>
      <c r="G138" s="3"/>
      <c r="H138" s="3">
        <v>1.5140820000000001</v>
      </c>
      <c r="N138">
        <v>4</v>
      </c>
      <c r="O138" t="s">
        <v>127</v>
      </c>
      <c r="P138" s="3"/>
      <c r="Q138" s="3"/>
      <c r="R138" s="3"/>
      <c r="S138" s="3">
        <v>13.460324</v>
      </c>
      <c r="W138">
        <v>5</v>
      </c>
      <c r="X138" t="s">
        <v>127</v>
      </c>
      <c r="Y138" s="3"/>
      <c r="Z138" s="3"/>
      <c r="AA138" s="3">
        <v>17.312114000000001</v>
      </c>
      <c r="AY138">
        <v>5</v>
      </c>
      <c r="AZ138" t="s">
        <v>127</v>
      </c>
      <c r="BA138" s="3"/>
      <c r="BB138" s="3"/>
      <c r="BC138" s="3"/>
      <c r="BD138" s="3">
        <v>93.601973000000001</v>
      </c>
    </row>
    <row r="139" spans="2:56" x14ac:dyDescent="0.25">
      <c r="D139" t="s">
        <v>128</v>
      </c>
      <c r="E139" s="3"/>
      <c r="F139" s="3"/>
      <c r="G139" s="3"/>
      <c r="H139" s="3">
        <v>0.94935247169141634</v>
      </c>
      <c r="O139" t="s">
        <v>128</v>
      </c>
      <c r="P139" s="3"/>
      <c r="Q139" s="3"/>
      <c r="R139" s="3"/>
      <c r="S139" s="3">
        <v>13.454936871599999</v>
      </c>
      <c r="X139" t="s">
        <v>128</v>
      </c>
      <c r="Y139" s="3"/>
      <c r="Z139" s="3"/>
      <c r="AA139" s="3">
        <v>19.282999790541496</v>
      </c>
      <c r="AZ139" t="s">
        <v>128</v>
      </c>
      <c r="BA139" s="3"/>
      <c r="BB139" s="3"/>
      <c r="BC139" s="3"/>
      <c r="BD139" s="3">
        <v>100.73946135111389</v>
      </c>
    </row>
    <row r="140" spans="2:56" x14ac:dyDescent="0.25">
      <c r="C140">
        <v>3</v>
      </c>
      <c r="D140" t="s">
        <v>127</v>
      </c>
      <c r="E140" s="3"/>
      <c r="F140" s="3"/>
      <c r="G140" s="3"/>
      <c r="H140" s="3">
        <v>2.3095300000000001</v>
      </c>
      <c r="N140">
        <v>5</v>
      </c>
      <c r="O140" t="s">
        <v>127</v>
      </c>
      <c r="P140" s="3"/>
      <c r="Q140" s="3"/>
      <c r="R140" s="3"/>
      <c r="S140" s="3">
        <v>16.825405</v>
      </c>
      <c r="W140">
        <v>6</v>
      </c>
      <c r="X140" t="s">
        <v>128</v>
      </c>
      <c r="Y140" s="3"/>
      <c r="Z140" s="3"/>
      <c r="AA140" s="3">
        <v>22.238783000000002</v>
      </c>
      <c r="AY140">
        <v>6</v>
      </c>
      <c r="AZ140" t="s">
        <v>128</v>
      </c>
      <c r="BA140" s="3"/>
      <c r="BB140" s="3"/>
      <c r="BC140" s="3"/>
      <c r="BD140" s="3">
        <v>118.7799265</v>
      </c>
    </row>
    <row r="141" spans="2:56" x14ac:dyDescent="0.25">
      <c r="D141" t="s">
        <v>128</v>
      </c>
      <c r="E141" s="3"/>
      <c r="F141" s="3"/>
      <c r="G141" s="3"/>
      <c r="H141" s="3">
        <v>1.423721999947885</v>
      </c>
      <c r="O141" t="s">
        <v>128</v>
      </c>
      <c r="P141" s="3"/>
      <c r="Q141" s="3"/>
      <c r="R141" s="3"/>
      <c r="S141" s="3">
        <v>16.818671089499997</v>
      </c>
      <c r="W141">
        <v>12</v>
      </c>
      <c r="X141" t="s">
        <v>128</v>
      </c>
      <c r="Y141" s="3"/>
      <c r="Z141" s="3"/>
      <c r="AA141" s="3">
        <v>46.275497457502993</v>
      </c>
      <c r="AY141">
        <v>12</v>
      </c>
      <c r="AZ141" t="s">
        <v>127</v>
      </c>
      <c r="BA141" s="3">
        <v>218.73404483000002</v>
      </c>
      <c r="BB141" s="3">
        <v>229.10166095826301</v>
      </c>
      <c r="BC141" s="3">
        <v>400.14604200000002</v>
      </c>
      <c r="BD141" s="3"/>
    </row>
    <row r="142" spans="2:56" x14ac:dyDescent="0.25">
      <c r="C142">
        <v>4</v>
      </c>
      <c r="D142" t="s">
        <v>127</v>
      </c>
      <c r="E142" s="3"/>
      <c r="F142" s="3"/>
      <c r="G142" s="3"/>
      <c r="H142" s="3">
        <v>3.0286650000000002</v>
      </c>
      <c r="N142">
        <v>6</v>
      </c>
      <c r="O142" t="s">
        <v>128</v>
      </c>
      <c r="P142" s="3"/>
      <c r="Q142" s="3"/>
      <c r="R142" s="3"/>
      <c r="S142" s="3">
        <v>20.182405307400003</v>
      </c>
      <c r="V142" t="s">
        <v>111</v>
      </c>
      <c r="W142">
        <v>1</v>
      </c>
      <c r="X142" t="s">
        <v>128</v>
      </c>
      <c r="Y142" s="3"/>
      <c r="Z142" s="3"/>
      <c r="AA142" s="3">
        <v>0</v>
      </c>
      <c r="AZ142" t="s">
        <v>128</v>
      </c>
      <c r="BA142" s="3"/>
      <c r="BB142" s="3"/>
      <c r="BC142" s="3"/>
      <c r="BD142" s="3">
        <v>241.75536681332827</v>
      </c>
    </row>
    <row r="143" spans="2:56" x14ac:dyDescent="0.25">
      <c r="D143" t="s">
        <v>128</v>
      </c>
      <c r="E143" s="3"/>
      <c r="F143" s="3"/>
      <c r="G143" s="3"/>
      <c r="H143" s="3">
        <v>1.8691372146833867</v>
      </c>
      <c r="N143">
        <v>12</v>
      </c>
      <c r="O143" t="s">
        <v>127</v>
      </c>
      <c r="P143" s="3">
        <v>20.152836000000001</v>
      </c>
      <c r="Q143" s="3">
        <v>35.551803</v>
      </c>
      <c r="R143" s="3">
        <v>34.355667999999994</v>
      </c>
      <c r="S143" s="3"/>
      <c r="W143">
        <v>2</v>
      </c>
      <c r="X143" t="s">
        <v>128</v>
      </c>
      <c r="Y143" s="3"/>
      <c r="Z143" s="3"/>
      <c r="AA143" s="3">
        <v>0</v>
      </c>
    </row>
    <row r="144" spans="2:56" x14ac:dyDescent="0.25">
      <c r="C144">
        <v>5</v>
      </c>
      <c r="D144" t="s">
        <v>127</v>
      </c>
      <c r="E144" s="3"/>
      <c r="F144" s="3"/>
      <c r="G144" s="3"/>
      <c r="H144" s="3">
        <v>3.7119850000000003</v>
      </c>
      <c r="O144" t="s">
        <v>128</v>
      </c>
      <c r="P144" s="3"/>
      <c r="Q144" s="3"/>
      <c r="R144" s="3"/>
      <c r="S144" s="3">
        <v>40.380963000000001</v>
      </c>
      <c r="W144">
        <v>3</v>
      </c>
      <c r="X144" t="s">
        <v>127</v>
      </c>
      <c r="Y144" s="3"/>
      <c r="Z144" s="3"/>
      <c r="AA144" s="3">
        <v>0.27500000000000002</v>
      </c>
    </row>
    <row r="145" spans="2:27" x14ac:dyDescent="0.25">
      <c r="D145" t="s">
        <v>128</v>
      </c>
      <c r="E145" s="3"/>
      <c r="F145" s="3"/>
      <c r="G145" s="3"/>
      <c r="H145" s="3">
        <v>2.4166577861254157</v>
      </c>
      <c r="L145" t="s">
        <v>156</v>
      </c>
      <c r="M145" t="s">
        <v>191</v>
      </c>
      <c r="N145">
        <v>1</v>
      </c>
      <c r="O145" t="s">
        <v>127</v>
      </c>
      <c r="P145" s="3"/>
      <c r="Q145" s="3"/>
      <c r="R145" s="3"/>
      <c r="S145" s="3">
        <v>1.3246659999999999</v>
      </c>
      <c r="X145" t="s">
        <v>128</v>
      </c>
      <c r="Y145" s="3"/>
      <c r="Z145" s="3"/>
      <c r="AA145" s="3">
        <v>0</v>
      </c>
    </row>
    <row r="146" spans="2:27" x14ac:dyDescent="0.25">
      <c r="C146">
        <v>6</v>
      </c>
      <c r="D146" t="s">
        <v>128</v>
      </c>
      <c r="E146" s="3"/>
      <c r="F146" s="3"/>
      <c r="G146" s="3"/>
      <c r="H146" s="3">
        <v>2.873084501843254</v>
      </c>
      <c r="O146" t="s">
        <v>128</v>
      </c>
      <c r="P146" s="3"/>
      <c r="Q146" s="3"/>
      <c r="R146" s="3"/>
      <c r="S146" s="3">
        <v>1.3241360502999999</v>
      </c>
      <c r="W146">
        <v>4</v>
      </c>
      <c r="X146" t="s">
        <v>127</v>
      </c>
      <c r="Y146" s="3"/>
      <c r="Z146" s="3"/>
      <c r="AA146" s="3">
        <v>0.27500000000000002</v>
      </c>
    </row>
    <row r="147" spans="2:27" x14ac:dyDescent="0.25">
      <c r="C147">
        <v>12</v>
      </c>
      <c r="D147" t="s">
        <v>127</v>
      </c>
      <c r="E147" s="3">
        <v>9.3917140000000003</v>
      </c>
      <c r="F147" s="3">
        <v>8.7231129999999997</v>
      </c>
      <c r="G147" s="3">
        <v>8.0176239999999996</v>
      </c>
      <c r="H147" s="3"/>
      <c r="N147">
        <v>2</v>
      </c>
      <c r="O147" t="s">
        <v>127</v>
      </c>
      <c r="P147" s="3"/>
      <c r="Q147" s="3"/>
      <c r="R147" s="3"/>
      <c r="S147" s="3">
        <v>2.6493319999999998</v>
      </c>
      <c r="X147" t="s">
        <v>128</v>
      </c>
      <c r="Y147" s="3"/>
      <c r="Z147" s="3"/>
      <c r="AA147" s="3">
        <v>0</v>
      </c>
    </row>
    <row r="148" spans="2:27" x14ac:dyDescent="0.25">
      <c r="D148" t="s">
        <v>128</v>
      </c>
      <c r="E148" s="3"/>
      <c r="F148" s="3"/>
      <c r="G148" s="3"/>
      <c r="H148" s="3">
        <v>6.1341517847931302</v>
      </c>
      <c r="O148" t="s">
        <v>128</v>
      </c>
      <c r="P148" s="3"/>
      <c r="Q148" s="3"/>
      <c r="R148" s="3"/>
      <c r="S148" s="3">
        <v>2.6498616996999997</v>
      </c>
      <c r="W148">
        <v>5</v>
      </c>
      <c r="X148" t="s">
        <v>127</v>
      </c>
      <c r="Y148" s="3"/>
      <c r="Z148" s="3"/>
      <c r="AA148" s="3">
        <v>0.27500000000000002</v>
      </c>
    </row>
    <row r="149" spans="2:27" x14ac:dyDescent="0.25">
      <c r="B149" t="s">
        <v>112</v>
      </c>
      <c r="C149">
        <v>1</v>
      </c>
      <c r="D149" t="s">
        <v>127</v>
      </c>
      <c r="E149" s="3"/>
      <c r="F149" s="3"/>
      <c r="G149" s="3"/>
      <c r="H149" s="3">
        <v>0.43030000000000002</v>
      </c>
      <c r="N149">
        <v>3</v>
      </c>
      <c r="O149" t="s">
        <v>127</v>
      </c>
      <c r="P149" s="3"/>
      <c r="Q149" s="3"/>
      <c r="R149" s="3"/>
      <c r="S149" s="3">
        <v>3.9739979999999999</v>
      </c>
      <c r="X149" t="s">
        <v>128</v>
      </c>
      <c r="Y149" s="3"/>
      <c r="Z149" s="3"/>
      <c r="AA149" s="3">
        <v>0</v>
      </c>
    </row>
    <row r="150" spans="2:27" x14ac:dyDescent="0.25">
      <c r="C150">
        <v>2</v>
      </c>
      <c r="D150" t="s">
        <v>127</v>
      </c>
      <c r="E150" s="3"/>
      <c r="F150" s="3"/>
      <c r="G150" s="3"/>
      <c r="H150" s="3">
        <v>1.0311809999999999</v>
      </c>
      <c r="O150" t="s">
        <v>128</v>
      </c>
      <c r="P150" s="3"/>
      <c r="Q150" s="3"/>
      <c r="R150" s="3"/>
      <c r="S150" s="3">
        <v>3.9739977500000001</v>
      </c>
      <c r="W150">
        <v>6</v>
      </c>
      <c r="X150" t="s">
        <v>128</v>
      </c>
      <c r="Y150" s="3"/>
      <c r="Z150" s="3"/>
      <c r="AA150" s="3">
        <v>0</v>
      </c>
    </row>
    <row r="151" spans="2:27" x14ac:dyDescent="0.25">
      <c r="C151">
        <v>3</v>
      </c>
      <c r="D151" t="s">
        <v>127</v>
      </c>
      <c r="E151" s="3"/>
      <c r="F151" s="3"/>
      <c r="G151" s="3"/>
      <c r="H151" s="3">
        <v>1.771919</v>
      </c>
      <c r="N151">
        <v>4</v>
      </c>
      <c r="O151" t="s">
        <v>127</v>
      </c>
      <c r="P151" s="3"/>
      <c r="Q151" s="3"/>
      <c r="R151" s="3"/>
      <c r="S151" s="3">
        <v>5.2986639999999996</v>
      </c>
      <c r="W151">
        <v>12</v>
      </c>
      <c r="X151" t="s">
        <v>128</v>
      </c>
      <c r="Y151" s="3"/>
      <c r="Z151" s="3"/>
      <c r="AA151" s="3">
        <v>0</v>
      </c>
    </row>
    <row r="152" spans="2:27" x14ac:dyDescent="0.25">
      <c r="C152">
        <v>4</v>
      </c>
      <c r="D152" t="s">
        <v>127</v>
      </c>
      <c r="E152" s="3"/>
      <c r="F152" s="3"/>
      <c r="G152" s="3"/>
      <c r="H152" s="3">
        <v>2.264875</v>
      </c>
      <c r="O152" t="s">
        <v>128</v>
      </c>
      <c r="P152" s="3"/>
      <c r="Q152" s="3"/>
      <c r="R152" s="3"/>
      <c r="S152" s="3">
        <v>5.2981338003000005</v>
      </c>
      <c r="V152" t="s">
        <v>205</v>
      </c>
      <c r="W152">
        <v>1</v>
      </c>
      <c r="X152" t="s">
        <v>127</v>
      </c>
      <c r="Y152" s="3"/>
      <c r="Z152" s="3"/>
      <c r="AA152" s="3">
        <v>2.3316E-2</v>
      </c>
    </row>
    <row r="153" spans="2:27" x14ac:dyDescent="0.25">
      <c r="C153">
        <v>5</v>
      </c>
      <c r="D153" t="s">
        <v>127</v>
      </c>
      <c r="E153" s="3"/>
      <c r="F153" s="3"/>
      <c r="G153" s="3"/>
      <c r="H153" s="3">
        <v>2.6429469999999999</v>
      </c>
      <c r="N153">
        <v>5</v>
      </c>
      <c r="O153" t="s">
        <v>127</v>
      </c>
      <c r="P153" s="3"/>
      <c r="Q153" s="3"/>
      <c r="R153" s="3"/>
      <c r="S153" s="3">
        <v>6.6233300000000002</v>
      </c>
      <c r="X153" t="s">
        <v>128</v>
      </c>
      <c r="Y153" s="3"/>
      <c r="Z153" s="3"/>
      <c r="AA153" s="3">
        <v>2.3011500000000001E-2</v>
      </c>
    </row>
    <row r="154" spans="2:27" x14ac:dyDescent="0.25">
      <c r="C154">
        <v>12</v>
      </c>
      <c r="D154" t="s">
        <v>127</v>
      </c>
      <c r="E154" s="3">
        <v>0.41972041999999998</v>
      </c>
      <c r="F154" s="3">
        <v>3.4102340300000002</v>
      </c>
      <c r="G154" s="3">
        <v>3.9732588</v>
      </c>
      <c r="H154" s="3"/>
      <c r="O154" t="s">
        <v>128</v>
      </c>
      <c r="P154" s="3"/>
      <c r="Q154" s="3"/>
      <c r="R154" s="3"/>
      <c r="S154" s="3">
        <v>6.6238594496999994</v>
      </c>
      <c r="W154">
        <v>2</v>
      </c>
      <c r="X154" t="s">
        <v>127</v>
      </c>
      <c r="Y154" s="3"/>
      <c r="Z154" s="3"/>
      <c r="AA154" s="3">
        <v>5.1713000000000002E-2</v>
      </c>
    </row>
    <row r="155" spans="2:27" x14ac:dyDescent="0.25">
      <c r="B155" t="s">
        <v>113</v>
      </c>
      <c r="C155">
        <v>4</v>
      </c>
      <c r="D155" t="s">
        <v>127</v>
      </c>
      <c r="E155" s="3"/>
      <c r="F155" s="3"/>
      <c r="G155" s="3"/>
      <c r="H155" s="3">
        <v>0.63466699999999998</v>
      </c>
      <c r="N155">
        <v>6</v>
      </c>
      <c r="O155" t="s">
        <v>128</v>
      </c>
      <c r="P155" s="3"/>
      <c r="Q155" s="3"/>
      <c r="R155" s="3"/>
      <c r="S155" s="3">
        <v>7.9479955000000002</v>
      </c>
      <c r="X155" t="s">
        <v>128</v>
      </c>
      <c r="Y155" s="3"/>
      <c r="Z155" s="3"/>
      <c r="AA155" s="3">
        <v>5.1749999999999997E-2</v>
      </c>
    </row>
    <row r="156" spans="2:27" x14ac:dyDescent="0.25">
      <c r="C156">
        <v>5</v>
      </c>
      <c r="D156" t="s">
        <v>127</v>
      </c>
      <c r="E156" s="3"/>
      <c r="F156" s="3"/>
      <c r="G156" s="3"/>
      <c r="H156" s="3">
        <v>0.63466699999999998</v>
      </c>
      <c r="N156">
        <v>12</v>
      </c>
      <c r="O156" t="s">
        <v>127</v>
      </c>
      <c r="P156" s="3">
        <v>12.416256000000001</v>
      </c>
      <c r="Q156" s="3">
        <v>13.864063</v>
      </c>
      <c r="R156" s="3">
        <v>21.309317</v>
      </c>
      <c r="S156" s="3"/>
      <c r="W156">
        <v>3</v>
      </c>
      <c r="X156" t="s">
        <v>127</v>
      </c>
      <c r="Y156" s="3"/>
      <c r="Z156" s="3"/>
      <c r="AA156" s="3">
        <v>8.2857E-2</v>
      </c>
    </row>
    <row r="157" spans="2:27" x14ac:dyDescent="0.25">
      <c r="C157">
        <v>12</v>
      </c>
      <c r="D157" t="s">
        <v>127</v>
      </c>
      <c r="E157" s="3">
        <v>1.5894999999999999</v>
      </c>
      <c r="F157" s="3">
        <v>18.05</v>
      </c>
      <c r="G157" s="3">
        <v>0</v>
      </c>
      <c r="H157" s="3"/>
      <c r="O157" t="s">
        <v>128</v>
      </c>
      <c r="P157" s="3"/>
      <c r="Q157" s="3"/>
      <c r="R157" s="3"/>
      <c r="S157" s="3">
        <v>15.895991</v>
      </c>
      <c r="X157" t="s">
        <v>128</v>
      </c>
      <c r="Y157" s="3"/>
      <c r="Z157" s="3"/>
      <c r="AA157" s="3">
        <v>8.0488500000000004E-2</v>
      </c>
    </row>
    <row r="158" spans="2:27" x14ac:dyDescent="0.25">
      <c r="B158" t="s">
        <v>114</v>
      </c>
      <c r="C158">
        <v>12</v>
      </c>
      <c r="D158" t="s">
        <v>127</v>
      </c>
      <c r="E158" s="3">
        <v>1.67344841</v>
      </c>
      <c r="F158" s="3">
        <v>7.6790609999999999</v>
      </c>
      <c r="G158" s="3"/>
      <c r="H158" s="3"/>
      <c r="L158" t="s">
        <v>157</v>
      </c>
      <c r="M158" t="s">
        <v>192</v>
      </c>
      <c r="N158">
        <v>1</v>
      </c>
      <c r="O158" t="s">
        <v>128</v>
      </c>
      <c r="P158" s="3"/>
      <c r="Q158" s="3"/>
      <c r="R158" s="3"/>
      <c r="S158" s="3">
        <v>0</v>
      </c>
      <c r="W158">
        <v>4</v>
      </c>
      <c r="X158" t="s">
        <v>127</v>
      </c>
      <c r="Y158" s="3"/>
      <c r="Z158" s="3"/>
      <c r="AA158" s="3">
        <v>0.12139800000000001</v>
      </c>
    </row>
    <row r="159" spans="2:27" x14ac:dyDescent="0.25">
      <c r="B159" t="s">
        <v>115</v>
      </c>
      <c r="C159">
        <v>12</v>
      </c>
      <c r="D159" t="s">
        <v>127</v>
      </c>
      <c r="E159" s="3"/>
      <c r="F159" s="3">
        <v>2.5000000000000001E-2</v>
      </c>
      <c r="G159" s="3"/>
      <c r="H159" s="3"/>
      <c r="N159">
        <v>2</v>
      </c>
      <c r="O159" t="s">
        <v>128</v>
      </c>
      <c r="P159" s="3"/>
      <c r="Q159" s="3"/>
      <c r="R159" s="3"/>
      <c r="S159" s="3">
        <v>0</v>
      </c>
      <c r="X159" t="s">
        <v>128</v>
      </c>
      <c r="Y159" s="3"/>
      <c r="Z159" s="3"/>
      <c r="AA159" s="3">
        <v>0.112125</v>
      </c>
    </row>
    <row r="160" spans="2:27" x14ac:dyDescent="0.25">
      <c r="B160" t="s">
        <v>116</v>
      </c>
      <c r="C160">
        <v>1</v>
      </c>
      <c r="D160" t="s">
        <v>127</v>
      </c>
      <c r="E160" s="3"/>
      <c r="F160" s="3"/>
      <c r="G160" s="3"/>
      <c r="H160" s="3">
        <v>0.04</v>
      </c>
      <c r="N160">
        <v>3</v>
      </c>
      <c r="O160" t="s">
        <v>128</v>
      </c>
      <c r="P160" s="3"/>
      <c r="Q160" s="3"/>
      <c r="R160" s="3"/>
      <c r="S160" s="3">
        <v>0</v>
      </c>
      <c r="W160">
        <v>5</v>
      </c>
      <c r="X160" t="s">
        <v>127</v>
      </c>
      <c r="Y160" s="3"/>
      <c r="Z160" s="3"/>
      <c r="AA160" s="3">
        <v>0.144175</v>
      </c>
    </row>
    <row r="161" spans="2:27" x14ac:dyDescent="0.25">
      <c r="D161" t="s">
        <v>128</v>
      </c>
      <c r="E161" s="3"/>
      <c r="F161" s="3"/>
      <c r="G161" s="3"/>
      <c r="H161" s="3">
        <v>0</v>
      </c>
      <c r="N161">
        <v>4</v>
      </c>
      <c r="O161" t="s">
        <v>128</v>
      </c>
      <c r="P161" s="3"/>
      <c r="Q161" s="3"/>
      <c r="R161" s="3"/>
      <c r="S161" s="3">
        <v>0</v>
      </c>
      <c r="X161" t="s">
        <v>128</v>
      </c>
      <c r="Y161" s="3"/>
      <c r="Z161" s="3"/>
      <c r="AA161" s="3">
        <v>0.14376149999999999</v>
      </c>
    </row>
    <row r="162" spans="2:27" x14ac:dyDescent="0.25">
      <c r="C162">
        <v>2</v>
      </c>
      <c r="D162" t="s">
        <v>127</v>
      </c>
      <c r="E162" s="3"/>
      <c r="F162" s="3"/>
      <c r="G162" s="3"/>
      <c r="H162" s="3">
        <v>2.2799999999999998</v>
      </c>
      <c r="N162">
        <v>5</v>
      </c>
      <c r="O162" t="s">
        <v>128</v>
      </c>
      <c r="P162" s="3"/>
      <c r="Q162" s="3"/>
      <c r="R162" s="3"/>
      <c r="S162" s="3">
        <v>0</v>
      </c>
      <c r="W162">
        <v>6</v>
      </c>
      <c r="X162" t="s">
        <v>128</v>
      </c>
      <c r="Y162" s="3"/>
      <c r="Z162" s="3"/>
      <c r="AA162" s="3">
        <v>0.1696365</v>
      </c>
    </row>
    <row r="163" spans="2:27" x14ac:dyDescent="0.25">
      <c r="D163" t="s">
        <v>128</v>
      </c>
      <c r="E163" s="3"/>
      <c r="F163" s="3"/>
      <c r="G163" s="3"/>
      <c r="H163" s="3">
        <v>0.2</v>
      </c>
      <c r="N163">
        <v>6</v>
      </c>
      <c r="O163" t="s">
        <v>128</v>
      </c>
      <c r="P163" s="3"/>
      <c r="Q163" s="3"/>
      <c r="R163" s="3"/>
      <c r="S163" s="3">
        <v>2.6025809999999998</v>
      </c>
      <c r="W163">
        <v>12</v>
      </c>
      <c r="X163" t="s">
        <v>128</v>
      </c>
      <c r="Y163" s="3"/>
      <c r="Z163" s="3"/>
      <c r="AA163" s="3">
        <v>0.34499999999999997</v>
      </c>
    </row>
    <row r="164" spans="2:27" x14ac:dyDescent="0.25">
      <c r="C164">
        <v>3</v>
      </c>
      <c r="D164" t="s">
        <v>127</v>
      </c>
      <c r="E164" s="3"/>
      <c r="F164" s="3"/>
      <c r="G164" s="3"/>
      <c r="H164" s="3">
        <v>5.580000000000001</v>
      </c>
      <c r="N164">
        <v>12</v>
      </c>
      <c r="O164" t="s">
        <v>127</v>
      </c>
      <c r="P164" s="3">
        <v>23.417873999999998</v>
      </c>
      <c r="Q164" s="3">
        <v>24.096879999999999</v>
      </c>
      <c r="R164" s="3">
        <v>5.6616999999999997</v>
      </c>
      <c r="S164" s="3"/>
      <c r="V164" t="s">
        <v>116</v>
      </c>
      <c r="W164">
        <v>1</v>
      </c>
      <c r="X164" t="s">
        <v>127</v>
      </c>
      <c r="Y164" s="3"/>
      <c r="Z164" s="3"/>
      <c r="AA164" s="3">
        <v>3.35</v>
      </c>
    </row>
    <row r="165" spans="2:27" x14ac:dyDescent="0.25">
      <c r="D165" t="s">
        <v>128</v>
      </c>
      <c r="E165" s="3"/>
      <c r="F165" s="3"/>
      <c r="G165" s="3"/>
      <c r="H165" s="3">
        <v>0.2</v>
      </c>
      <c r="O165" t="s">
        <v>128</v>
      </c>
      <c r="P165" s="3"/>
      <c r="Q165" s="3"/>
      <c r="R165" s="3"/>
      <c r="S165" s="3">
        <v>4.4043699999999992</v>
      </c>
      <c r="W165">
        <v>2</v>
      </c>
      <c r="X165" t="s">
        <v>127</v>
      </c>
      <c r="Y165" s="3"/>
      <c r="Z165" s="3"/>
      <c r="AA165" s="3">
        <v>7.43</v>
      </c>
    </row>
    <row r="166" spans="2:27" x14ac:dyDescent="0.25">
      <c r="C166">
        <v>4</v>
      </c>
      <c r="D166" t="s">
        <v>127</v>
      </c>
      <c r="E166" s="3"/>
      <c r="F166" s="3"/>
      <c r="G166" s="3"/>
      <c r="H166" s="3">
        <v>7.76</v>
      </c>
      <c r="L166" t="s">
        <v>158</v>
      </c>
      <c r="M166" t="s">
        <v>193</v>
      </c>
      <c r="N166">
        <v>1</v>
      </c>
      <c r="O166" t="s">
        <v>128</v>
      </c>
      <c r="P166" s="3"/>
      <c r="Q166" s="3"/>
      <c r="R166" s="3"/>
      <c r="S166" s="3">
        <v>0</v>
      </c>
      <c r="W166">
        <v>3</v>
      </c>
      <c r="X166" t="s">
        <v>127</v>
      </c>
      <c r="Y166" s="3"/>
      <c r="Z166" s="3"/>
      <c r="AA166" s="3">
        <v>11.5825</v>
      </c>
    </row>
    <row r="167" spans="2:27" x14ac:dyDescent="0.25">
      <c r="D167" t="s">
        <v>128</v>
      </c>
      <c r="E167" s="3"/>
      <c r="F167" s="3"/>
      <c r="G167" s="3"/>
      <c r="H167" s="3">
        <v>0.2</v>
      </c>
      <c r="N167">
        <v>2</v>
      </c>
      <c r="O167" t="s">
        <v>128</v>
      </c>
      <c r="P167" s="3"/>
      <c r="Q167" s="3"/>
      <c r="R167" s="3"/>
      <c r="S167" s="3">
        <v>0</v>
      </c>
      <c r="W167">
        <v>4</v>
      </c>
      <c r="X167" t="s">
        <v>127</v>
      </c>
      <c r="Y167" s="3"/>
      <c r="Z167" s="3"/>
      <c r="AA167" s="3">
        <v>17.12</v>
      </c>
    </row>
    <row r="168" spans="2:27" x14ac:dyDescent="0.25">
      <c r="C168">
        <v>5</v>
      </c>
      <c r="D168" t="s">
        <v>127</v>
      </c>
      <c r="E168" s="3"/>
      <c r="F168" s="3"/>
      <c r="G168" s="3"/>
      <c r="H168" s="3">
        <v>7.84</v>
      </c>
      <c r="N168">
        <v>3</v>
      </c>
      <c r="O168" t="s">
        <v>128</v>
      </c>
      <c r="P168" s="3"/>
      <c r="Q168" s="3"/>
      <c r="R168" s="3"/>
      <c r="S168" s="3">
        <v>0</v>
      </c>
      <c r="W168">
        <v>5</v>
      </c>
      <c r="X168" t="s">
        <v>127</v>
      </c>
      <c r="Y168" s="3"/>
      <c r="Z168" s="3"/>
      <c r="AA168" s="3">
        <v>17.12</v>
      </c>
    </row>
    <row r="169" spans="2:27" x14ac:dyDescent="0.25">
      <c r="D169" t="s">
        <v>128</v>
      </c>
      <c r="E169" s="3"/>
      <c r="F169" s="3"/>
      <c r="G169" s="3"/>
      <c r="H169" s="3">
        <v>17.879760000000001</v>
      </c>
      <c r="N169">
        <v>4</v>
      </c>
      <c r="O169" t="s">
        <v>128</v>
      </c>
      <c r="P169" s="3"/>
      <c r="Q169" s="3"/>
      <c r="R169" s="3"/>
      <c r="S169" s="3">
        <v>0</v>
      </c>
      <c r="V169" t="s">
        <v>117</v>
      </c>
      <c r="W169">
        <v>1</v>
      </c>
      <c r="X169" t="s">
        <v>128</v>
      </c>
      <c r="Y169" s="3"/>
      <c r="Z169" s="3"/>
      <c r="AA169" s="3">
        <v>4.0019999999999998</v>
      </c>
    </row>
    <row r="170" spans="2:27" x14ac:dyDescent="0.25">
      <c r="C170">
        <v>6</v>
      </c>
      <c r="D170" t="s">
        <v>128</v>
      </c>
      <c r="E170" s="3"/>
      <c r="F170" s="3"/>
      <c r="G170" s="3"/>
      <c r="H170" s="3">
        <v>19.754760000000001</v>
      </c>
      <c r="N170">
        <v>5</v>
      </c>
      <c r="O170" t="s">
        <v>128</v>
      </c>
      <c r="P170" s="3"/>
      <c r="Q170" s="3"/>
      <c r="R170" s="3"/>
      <c r="S170" s="3">
        <v>0</v>
      </c>
      <c r="W170">
        <v>2</v>
      </c>
      <c r="X170" t="s">
        <v>128</v>
      </c>
      <c r="Y170" s="3"/>
      <c r="Z170" s="3"/>
      <c r="AA170" s="3">
        <v>9</v>
      </c>
    </row>
    <row r="171" spans="2:27" x14ac:dyDescent="0.25">
      <c r="C171">
        <v>12</v>
      </c>
      <c r="D171" t="s">
        <v>127</v>
      </c>
      <c r="E171" s="3">
        <v>41.008191000000004</v>
      </c>
      <c r="F171" s="3">
        <v>44.136483000000005</v>
      </c>
      <c r="G171" s="3">
        <v>28.614799000000001</v>
      </c>
      <c r="H171" s="3"/>
      <c r="N171">
        <v>6</v>
      </c>
      <c r="O171" t="s">
        <v>128</v>
      </c>
      <c r="P171" s="3"/>
      <c r="Q171" s="3"/>
      <c r="R171" s="3"/>
      <c r="S171" s="3">
        <v>0.38799600000000001</v>
      </c>
      <c r="W171">
        <v>3</v>
      </c>
      <c r="X171" t="s">
        <v>128</v>
      </c>
      <c r="Y171" s="3"/>
      <c r="Z171" s="3"/>
      <c r="AA171" s="3">
        <v>13.997999999999999</v>
      </c>
    </row>
    <row r="172" spans="2:27" x14ac:dyDescent="0.25">
      <c r="D172" t="s">
        <v>128</v>
      </c>
      <c r="E172" s="3"/>
      <c r="F172" s="3"/>
      <c r="G172" s="3"/>
      <c r="H172" s="3">
        <v>40.11</v>
      </c>
      <c r="N172">
        <v>12</v>
      </c>
      <c r="O172" t="s">
        <v>127</v>
      </c>
      <c r="P172" s="3">
        <v>7.7625000000000002</v>
      </c>
      <c r="Q172" s="3">
        <v>2.3759999999999999</v>
      </c>
      <c r="R172" s="3">
        <v>0.40799999999999997</v>
      </c>
      <c r="S172" s="3"/>
      <c r="W172">
        <v>4</v>
      </c>
      <c r="X172" t="s">
        <v>128</v>
      </c>
      <c r="Y172" s="3"/>
      <c r="Z172" s="3"/>
      <c r="AA172" s="3">
        <v>19.5</v>
      </c>
    </row>
    <row r="173" spans="2:27" x14ac:dyDescent="0.25">
      <c r="B173" t="s">
        <v>118</v>
      </c>
      <c r="C173">
        <v>1</v>
      </c>
      <c r="D173" t="s">
        <v>127</v>
      </c>
      <c r="E173" s="3"/>
      <c r="F173" s="3"/>
      <c r="G173" s="3"/>
      <c r="H173" s="3">
        <v>121.066309</v>
      </c>
      <c r="O173" t="s">
        <v>128</v>
      </c>
      <c r="P173" s="3"/>
      <c r="Q173" s="3"/>
      <c r="R173" s="3"/>
      <c r="S173" s="3">
        <v>0.74799599999999999</v>
      </c>
      <c r="W173">
        <v>5</v>
      </c>
      <c r="X173" t="s">
        <v>127</v>
      </c>
      <c r="Y173" s="3"/>
      <c r="Z173" s="3"/>
      <c r="AA173" s="3">
        <v>3.2725</v>
      </c>
    </row>
    <row r="174" spans="2:27" x14ac:dyDescent="0.25">
      <c r="D174" t="s">
        <v>128</v>
      </c>
      <c r="E174" s="3"/>
      <c r="F174" s="3"/>
      <c r="G174" s="3"/>
      <c r="H174" s="3">
        <v>91.970426060943367</v>
      </c>
      <c r="L174" t="s">
        <v>159</v>
      </c>
      <c r="M174" t="s">
        <v>194</v>
      </c>
      <c r="N174">
        <v>1</v>
      </c>
      <c r="O174" t="s">
        <v>127</v>
      </c>
      <c r="P174" s="3"/>
      <c r="Q174" s="3"/>
      <c r="R174" s="3"/>
      <c r="S174" s="3">
        <v>0</v>
      </c>
      <c r="X174" t="s">
        <v>128</v>
      </c>
      <c r="Y174" s="3"/>
      <c r="Z174" s="3"/>
      <c r="AA174" s="3">
        <v>25.001999999999999</v>
      </c>
    </row>
    <row r="175" spans="2:27" x14ac:dyDescent="0.25">
      <c r="C175">
        <v>2</v>
      </c>
      <c r="D175" t="s">
        <v>127</v>
      </c>
      <c r="E175" s="3"/>
      <c r="F175" s="3"/>
      <c r="G175" s="3"/>
      <c r="H175" s="3">
        <v>236.399349</v>
      </c>
      <c r="O175" t="s">
        <v>128</v>
      </c>
      <c r="P175" s="3"/>
      <c r="Q175" s="3"/>
      <c r="R175" s="3"/>
      <c r="S175" s="3">
        <v>2.6239499999999998</v>
      </c>
      <c r="W175">
        <v>6</v>
      </c>
      <c r="X175" t="s">
        <v>128</v>
      </c>
      <c r="Y175" s="3"/>
      <c r="Z175" s="3"/>
      <c r="AA175" s="3">
        <v>29.501999999999999</v>
      </c>
    </row>
    <row r="176" spans="2:27" x14ac:dyDescent="0.25">
      <c r="D176" t="s">
        <v>128</v>
      </c>
      <c r="E176" s="3"/>
      <c r="F176" s="3"/>
      <c r="G176" s="3"/>
      <c r="H176" s="3">
        <v>183.94085212188673</v>
      </c>
      <c r="N176">
        <v>2</v>
      </c>
      <c r="O176" t="s">
        <v>127</v>
      </c>
      <c r="P176" s="3"/>
      <c r="Q176" s="3"/>
      <c r="R176" s="3"/>
      <c r="S176" s="3">
        <v>0.20213600000000001</v>
      </c>
      <c r="W176">
        <v>12</v>
      </c>
      <c r="X176" t="s">
        <v>128</v>
      </c>
      <c r="Y176" s="3"/>
      <c r="Z176" s="3"/>
      <c r="AA176" s="3">
        <v>60</v>
      </c>
    </row>
    <row r="177" spans="2:27" x14ac:dyDescent="0.25">
      <c r="C177">
        <v>3</v>
      </c>
      <c r="D177" t="s">
        <v>127</v>
      </c>
      <c r="E177" s="3"/>
      <c r="F177" s="3"/>
      <c r="G177" s="3"/>
      <c r="H177" s="3">
        <v>348.60345799999999</v>
      </c>
      <c r="O177" t="s">
        <v>128</v>
      </c>
      <c r="P177" s="3"/>
      <c r="Q177" s="3"/>
      <c r="R177" s="3"/>
      <c r="S177" s="3">
        <v>5.2510499999999993</v>
      </c>
      <c r="V177" t="s">
        <v>120</v>
      </c>
      <c r="W177">
        <v>1</v>
      </c>
      <c r="X177" t="s">
        <v>128</v>
      </c>
      <c r="Y177" s="3"/>
      <c r="Z177" s="3"/>
      <c r="AA177" s="3">
        <v>0</v>
      </c>
    </row>
    <row r="178" spans="2:27" x14ac:dyDescent="0.25">
      <c r="D178" t="s">
        <v>128</v>
      </c>
      <c r="E178" s="3"/>
      <c r="F178" s="3"/>
      <c r="G178" s="3"/>
      <c r="H178" s="3">
        <v>275.92285790098009</v>
      </c>
      <c r="N178">
        <v>3</v>
      </c>
      <c r="O178" t="s">
        <v>127</v>
      </c>
      <c r="P178" s="3"/>
      <c r="Q178" s="3"/>
      <c r="R178" s="3"/>
      <c r="S178" s="3">
        <v>1.552087</v>
      </c>
      <c r="W178">
        <v>2</v>
      </c>
      <c r="X178" t="s">
        <v>128</v>
      </c>
      <c r="Y178" s="3"/>
      <c r="Z178" s="3"/>
      <c r="AA178" s="3">
        <v>0</v>
      </c>
    </row>
    <row r="179" spans="2:27" x14ac:dyDescent="0.25">
      <c r="C179">
        <v>4</v>
      </c>
      <c r="D179" t="s">
        <v>127</v>
      </c>
      <c r="E179" s="3"/>
      <c r="F179" s="3"/>
      <c r="G179" s="3"/>
      <c r="H179" s="3">
        <v>459.42776099999998</v>
      </c>
      <c r="O179" t="s">
        <v>128</v>
      </c>
      <c r="P179" s="3"/>
      <c r="Q179" s="3"/>
      <c r="R179" s="3"/>
      <c r="S179" s="3">
        <v>7.875</v>
      </c>
      <c r="W179">
        <v>3</v>
      </c>
      <c r="X179" t="s">
        <v>128</v>
      </c>
      <c r="Y179" s="3"/>
      <c r="Z179" s="3"/>
      <c r="AA179" s="3">
        <v>0</v>
      </c>
    </row>
    <row r="180" spans="2:27" x14ac:dyDescent="0.25">
      <c r="D180" t="s">
        <v>128</v>
      </c>
      <c r="E180" s="3"/>
      <c r="F180" s="3"/>
      <c r="G180" s="3"/>
      <c r="H180" s="3">
        <v>362.38133812252346</v>
      </c>
      <c r="N180">
        <v>4</v>
      </c>
      <c r="O180" t="s">
        <v>127</v>
      </c>
      <c r="P180" s="3"/>
      <c r="Q180" s="3"/>
      <c r="R180" s="3"/>
      <c r="S180" s="3">
        <v>1.552087</v>
      </c>
      <c r="W180">
        <v>4</v>
      </c>
      <c r="X180" t="s">
        <v>128</v>
      </c>
      <c r="Y180" s="3"/>
      <c r="Z180" s="3"/>
      <c r="AA180" s="3">
        <v>0</v>
      </c>
    </row>
    <row r="181" spans="2:27" x14ac:dyDescent="0.25">
      <c r="C181">
        <v>5</v>
      </c>
      <c r="D181" t="s">
        <v>127</v>
      </c>
      <c r="E181" s="3"/>
      <c r="F181" s="3"/>
      <c r="G181" s="3"/>
      <c r="H181" s="3">
        <v>567.00197700000001</v>
      </c>
      <c r="O181" t="s">
        <v>128</v>
      </c>
      <c r="P181" s="3"/>
      <c r="Q181" s="3"/>
      <c r="R181" s="3"/>
      <c r="S181" s="3">
        <v>10.498950000000001</v>
      </c>
      <c r="W181">
        <v>5</v>
      </c>
      <c r="X181" t="s">
        <v>128</v>
      </c>
      <c r="Y181" s="3"/>
      <c r="Z181" s="3"/>
      <c r="AA181" s="3">
        <v>0</v>
      </c>
    </row>
    <row r="182" spans="2:27" x14ac:dyDescent="0.25">
      <c r="D182" t="s">
        <v>128</v>
      </c>
      <c r="E182" s="3"/>
      <c r="F182" s="3"/>
      <c r="G182" s="3"/>
      <c r="H182" s="3">
        <v>448.83981834406677</v>
      </c>
      <c r="N182">
        <v>5</v>
      </c>
      <c r="O182" t="s">
        <v>127</v>
      </c>
      <c r="P182" s="3"/>
      <c r="Q182" s="3"/>
      <c r="R182" s="3"/>
      <c r="S182" s="3">
        <v>4.1690709999999997</v>
      </c>
      <c r="W182">
        <v>6</v>
      </c>
      <c r="X182" t="s">
        <v>128</v>
      </c>
      <c r="Y182" s="3"/>
      <c r="Z182" s="3"/>
      <c r="AA182" s="3">
        <v>0</v>
      </c>
    </row>
    <row r="183" spans="2:27" x14ac:dyDescent="0.25">
      <c r="C183">
        <v>6</v>
      </c>
      <c r="D183" t="s">
        <v>128</v>
      </c>
      <c r="E183" s="3"/>
      <c r="F183" s="3"/>
      <c r="G183" s="3"/>
      <c r="H183" s="3">
        <v>535.29829856561025</v>
      </c>
      <c r="O183" t="s">
        <v>128</v>
      </c>
      <c r="P183" s="3"/>
      <c r="Q183" s="3"/>
      <c r="R183" s="3"/>
      <c r="S183" s="3">
        <v>13.126049999999999</v>
      </c>
      <c r="W183">
        <v>12</v>
      </c>
      <c r="X183" t="s">
        <v>128</v>
      </c>
      <c r="Y183" s="3"/>
      <c r="Z183" s="3"/>
      <c r="AA183" s="3">
        <v>0</v>
      </c>
    </row>
    <row r="184" spans="2:27" x14ac:dyDescent="0.25">
      <c r="C184">
        <v>12</v>
      </c>
      <c r="D184" t="s">
        <v>127</v>
      </c>
      <c r="E184" s="3">
        <v>1411.003324</v>
      </c>
      <c r="F184" s="3">
        <v>1381.876704</v>
      </c>
      <c r="G184" s="3">
        <v>1266.0956249999999</v>
      </c>
      <c r="H184" s="3"/>
      <c r="N184">
        <v>6</v>
      </c>
      <c r="O184" t="s">
        <v>128</v>
      </c>
      <c r="P184" s="3"/>
      <c r="Q184" s="3"/>
      <c r="R184" s="3"/>
      <c r="S184" s="3">
        <v>15.75</v>
      </c>
    </row>
    <row r="185" spans="2:27" x14ac:dyDescent="0.25">
      <c r="D185" t="s">
        <v>128</v>
      </c>
      <c r="E185" s="3"/>
      <c r="F185" s="3"/>
      <c r="G185" s="3"/>
      <c r="H185" s="3">
        <v>1145.0648031850401</v>
      </c>
      <c r="N185">
        <v>12</v>
      </c>
      <c r="O185" t="s">
        <v>127</v>
      </c>
      <c r="P185" s="3">
        <v>13.596109000000002</v>
      </c>
      <c r="Q185" s="3">
        <v>26.411324999999998</v>
      </c>
      <c r="R185" s="3">
        <v>36.088670999999998</v>
      </c>
      <c r="S185" s="3"/>
    </row>
    <row r="186" spans="2:27" x14ac:dyDescent="0.25">
      <c r="B186" t="s">
        <v>120</v>
      </c>
      <c r="C186">
        <v>1</v>
      </c>
      <c r="D186" t="s">
        <v>128</v>
      </c>
      <c r="E186" s="3"/>
      <c r="F186" s="3"/>
      <c r="G186" s="3"/>
      <c r="H186" s="3">
        <v>9.348987999999725E-4</v>
      </c>
      <c r="O186" t="s">
        <v>128</v>
      </c>
      <c r="P186" s="3"/>
      <c r="Q186" s="3"/>
      <c r="R186" s="3"/>
      <c r="S186" s="3">
        <v>31.5</v>
      </c>
    </row>
    <row r="187" spans="2:27" x14ac:dyDescent="0.25">
      <c r="C187">
        <v>2</v>
      </c>
      <c r="D187" t="s">
        <v>128</v>
      </c>
      <c r="E187" s="3"/>
      <c r="F187" s="3"/>
      <c r="G187" s="3"/>
      <c r="H187" s="3">
        <v>1.1507996000000853E-3</v>
      </c>
      <c r="L187" t="s">
        <v>160</v>
      </c>
      <c r="M187" t="s">
        <v>195</v>
      </c>
      <c r="N187">
        <v>1</v>
      </c>
      <c r="O187" t="s">
        <v>127</v>
      </c>
      <c r="P187" s="3"/>
      <c r="Q187" s="3"/>
      <c r="R187" s="3"/>
      <c r="S187" s="3">
        <v>5.4900909999999996</v>
      </c>
    </row>
    <row r="188" spans="2:27" x14ac:dyDescent="0.25">
      <c r="C188">
        <v>3</v>
      </c>
      <c r="D188" t="s">
        <v>128</v>
      </c>
      <c r="E188" s="3"/>
      <c r="F188" s="3"/>
      <c r="G188" s="3"/>
      <c r="H188" s="3">
        <v>1.3667003999999761E-3</v>
      </c>
      <c r="O188" t="s">
        <v>128</v>
      </c>
      <c r="P188" s="3"/>
      <c r="Q188" s="3"/>
      <c r="R188" s="3"/>
      <c r="S188" s="3">
        <v>4.1249524196214686</v>
      </c>
    </row>
    <row r="189" spans="2:27" x14ac:dyDescent="0.25">
      <c r="C189">
        <v>4</v>
      </c>
      <c r="D189" t="s">
        <v>128</v>
      </c>
      <c r="E189" s="3"/>
      <c r="F189" s="3"/>
      <c r="G189" s="3"/>
      <c r="H189" s="3">
        <v>1.5826011999999778E-3</v>
      </c>
      <c r="N189">
        <v>2</v>
      </c>
      <c r="O189" t="s">
        <v>127</v>
      </c>
      <c r="P189" s="3"/>
      <c r="Q189" s="3"/>
      <c r="R189" s="3"/>
      <c r="S189" s="3">
        <v>10.876970999999999</v>
      </c>
    </row>
    <row r="190" spans="2:27" x14ac:dyDescent="0.25">
      <c r="C190">
        <v>5</v>
      </c>
      <c r="D190" t="s">
        <v>128</v>
      </c>
      <c r="E190" s="3"/>
      <c r="F190" s="3"/>
      <c r="G190" s="3"/>
      <c r="H190" s="3">
        <v>1.7980991999999585E-3</v>
      </c>
      <c r="O190" t="s">
        <v>128</v>
      </c>
      <c r="P190" s="3"/>
      <c r="Q190" s="3"/>
      <c r="R190" s="3"/>
      <c r="S190" s="3">
        <v>8.2552388842731919</v>
      </c>
    </row>
    <row r="191" spans="2:27" x14ac:dyDescent="0.25">
      <c r="C191">
        <v>6</v>
      </c>
      <c r="D191" t="s">
        <v>128</v>
      </c>
      <c r="E191" s="3"/>
      <c r="F191" s="3"/>
      <c r="G191" s="3"/>
      <c r="H191" s="3">
        <v>2.0139999999999603E-3</v>
      </c>
      <c r="N191">
        <v>3</v>
      </c>
      <c r="O191" t="s">
        <v>127</v>
      </c>
      <c r="P191" s="3"/>
      <c r="Q191" s="3"/>
      <c r="R191" s="3"/>
      <c r="S191" s="3">
        <v>16.179856000000001</v>
      </c>
    </row>
    <row r="192" spans="2:27" x14ac:dyDescent="0.25">
      <c r="C192">
        <v>12</v>
      </c>
      <c r="D192" t="s">
        <v>127</v>
      </c>
      <c r="E192" s="3">
        <v>5.1541164300000002</v>
      </c>
      <c r="F192" s="3">
        <v>8.9050740800000003</v>
      </c>
      <c r="G192" s="3">
        <v>2.74539307</v>
      </c>
      <c r="H192" s="3"/>
      <c r="O192" t="s">
        <v>128</v>
      </c>
      <c r="P192" s="3"/>
      <c r="Q192" s="3"/>
      <c r="R192" s="3"/>
      <c r="S192" s="3">
        <v>12.380191303894662</v>
      </c>
    </row>
    <row r="193" spans="1:19" x14ac:dyDescent="0.25">
      <c r="D193" t="s">
        <v>128</v>
      </c>
      <c r="E193" s="3"/>
      <c r="F193" s="3"/>
      <c r="G193" s="3"/>
      <c r="H193" s="3">
        <v>4.0279999999999205E-3</v>
      </c>
      <c r="N193">
        <v>4</v>
      </c>
      <c r="O193" t="s">
        <v>127</v>
      </c>
      <c r="P193" s="3"/>
      <c r="Q193" s="3"/>
      <c r="R193" s="3"/>
      <c r="S193" s="3">
        <v>21.346012999999999</v>
      </c>
    </row>
    <row r="194" spans="1:19" x14ac:dyDescent="0.25">
      <c r="B194" t="s">
        <v>121</v>
      </c>
      <c r="C194">
        <v>12</v>
      </c>
      <c r="D194" t="s">
        <v>127</v>
      </c>
      <c r="E194" s="3">
        <v>2.6599999999999999E-2</v>
      </c>
      <c r="F194" s="3"/>
      <c r="G194" s="3"/>
      <c r="H194" s="3"/>
      <c r="O194" t="s">
        <v>128</v>
      </c>
      <c r="P194" s="3"/>
      <c r="Q194" s="3"/>
      <c r="R194" s="3"/>
      <c r="S194" s="3">
        <v>16.253367084203376</v>
      </c>
    </row>
    <row r="195" spans="1:19" x14ac:dyDescent="0.25">
      <c r="A195" t="s">
        <v>59</v>
      </c>
      <c r="B195" t="s">
        <v>100</v>
      </c>
      <c r="C195">
        <v>1</v>
      </c>
      <c r="D195" t="s">
        <v>127</v>
      </c>
      <c r="E195" s="3"/>
      <c r="F195" s="3"/>
      <c r="G195" s="3"/>
      <c r="H195" s="3">
        <v>-0.90125</v>
      </c>
      <c r="N195">
        <v>5</v>
      </c>
      <c r="O195" t="s">
        <v>127</v>
      </c>
      <c r="P195" s="3"/>
      <c r="Q195" s="3"/>
      <c r="R195" s="3"/>
      <c r="S195" s="3">
        <v>26.254883</v>
      </c>
    </row>
    <row r="196" spans="1:19" x14ac:dyDescent="0.25">
      <c r="C196">
        <v>2</v>
      </c>
      <c r="D196" t="s">
        <v>127</v>
      </c>
      <c r="E196" s="3"/>
      <c r="F196" s="3"/>
      <c r="G196" s="3"/>
      <c r="H196" s="3">
        <v>-0.90125</v>
      </c>
      <c r="O196" t="s">
        <v>128</v>
      </c>
      <c r="P196" s="3"/>
      <c r="Q196" s="3"/>
      <c r="R196" s="3"/>
      <c r="S196" s="3">
        <v>21.014415531525373</v>
      </c>
    </row>
    <row r="197" spans="1:19" x14ac:dyDescent="0.25">
      <c r="C197">
        <v>3</v>
      </c>
      <c r="D197" t="s">
        <v>127</v>
      </c>
      <c r="E197" s="3"/>
      <c r="F197" s="3"/>
      <c r="G197" s="3"/>
      <c r="H197" s="3">
        <v>-0.90125</v>
      </c>
      <c r="N197">
        <v>6</v>
      </c>
      <c r="O197" t="s">
        <v>128</v>
      </c>
      <c r="P197" s="3"/>
      <c r="Q197" s="3"/>
      <c r="R197" s="3"/>
      <c r="S197" s="3">
        <v>24.983343494289183</v>
      </c>
    </row>
    <row r="198" spans="1:19" x14ac:dyDescent="0.25">
      <c r="C198">
        <v>4</v>
      </c>
      <c r="D198" t="s">
        <v>127</v>
      </c>
      <c r="E198" s="3"/>
      <c r="F198" s="3"/>
      <c r="G198" s="3"/>
      <c r="H198" s="3">
        <v>-1.9827499999999998</v>
      </c>
      <c r="N198">
        <v>12</v>
      </c>
      <c r="O198" t="s">
        <v>127</v>
      </c>
      <c r="P198" s="3">
        <v>67.998997000000003</v>
      </c>
      <c r="Q198" s="3">
        <v>63.829223999999996</v>
      </c>
      <c r="R198" s="3">
        <v>34.558675999999998</v>
      </c>
      <c r="S198" s="3"/>
    </row>
    <row r="199" spans="1:19" x14ac:dyDescent="0.25">
      <c r="C199">
        <v>5</v>
      </c>
      <c r="D199" t="s">
        <v>127</v>
      </c>
      <c r="E199" s="3"/>
      <c r="F199" s="3"/>
      <c r="G199" s="3"/>
      <c r="H199" s="3">
        <v>-1.9827499999999998</v>
      </c>
      <c r="O199" t="s">
        <v>128</v>
      </c>
      <c r="P199" s="3"/>
      <c r="Q199" s="3"/>
      <c r="R199" s="3"/>
      <c r="S199" s="3">
        <v>53.340450302548994</v>
      </c>
    </row>
    <row r="200" spans="1:19" x14ac:dyDescent="0.25">
      <c r="C200">
        <v>12</v>
      </c>
      <c r="D200" t="s">
        <v>127</v>
      </c>
      <c r="E200" s="3">
        <v>-2.0990000000000002</v>
      </c>
      <c r="F200" s="3">
        <v>-119.25991981</v>
      </c>
      <c r="G200" s="3">
        <v>-31.258749999999999</v>
      </c>
      <c r="H200" s="3"/>
      <c r="L200" t="s">
        <v>163</v>
      </c>
      <c r="M200" t="s">
        <v>198</v>
      </c>
      <c r="N200">
        <v>1</v>
      </c>
      <c r="O200" t="s">
        <v>128</v>
      </c>
      <c r="P200" s="3"/>
      <c r="Q200" s="3"/>
      <c r="R200" s="3"/>
      <c r="S200" s="3">
        <v>22.758659060199996</v>
      </c>
    </row>
    <row r="201" spans="1:19" x14ac:dyDescent="0.25">
      <c r="B201" t="s">
        <v>101</v>
      </c>
      <c r="C201">
        <v>1</v>
      </c>
      <c r="D201" t="s">
        <v>127</v>
      </c>
      <c r="E201" s="3"/>
      <c r="F201" s="3"/>
      <c r="G201" s="3"/>
      <c r="H201" s="3">
        <v>56.774453789999995</v>
      </c>
      <c r="N201">
        <v>2</v>
      </c>
      <c r="O201" t="s">
        <v>127</v>
      </c>
      <c r="P201" s="3"/>
      <c r="Q201" s="3"/>
      <c r="R201" s="3"/>
      <c r="S201" s="3">
        <v>40.128664000000001</v>
      </c>
    </row>
    <row r="202" spans="1:19" x14ac:dyDescent="0.25">
      <c r="D202" t="s">
        <v>128</v>
      </c>
      <c r="E202" s="3"/>
      <c r="F202" s="3"/>
      <c r="G202" s="3"/>
      <c r="H202" s="3">
        <v>51.273312806399993</v>
      </c>
      <c r="O202" t="s">
        <v>128</v>
      </c>
      <c r="P202" s="3"/>
      <c r="Q202" s="3"/>
      <c r="R202" s="3"/>
      <c r="S202" s="3">
        <v>45.544639439799994</v>
      </c>
    </row>
    <row r="203" spans="1:19" x14ac:dyDescent="0.25">
      <c r="C203">
        <v>2</v>
      </c>
      <c r="D203" t="s">
        <v>127</v>
      </c>
      <c r="E203" s="3"/>
      <c r="F203" s="3"/>
      <c r="G203" s="3"/>
      <c r="H203" s="3">
        <v>117.52140758</v>
      </c>
      <c r="N203">
        <v>3</v>
      </c>
      <c r="O203" t="s">
        <v>127</v>
      </c>
      <c r="P203" s="3"/>
      <c r="Q203" s="3"/>
      <c r="R203" s="3"/>
      <c r="S203" s="3">
        <v>62.866258000000002</v>
      </c>
    </row>
    <row r="204" spans="1:19" x14ac:dyDescent="0.25">
      <c r="D204" t="s">
        <v>128</v>
      </c>
      <c r="E204" s="3"/>
      <c r="F204" s="3"/>
      <c r="G204" s="3"/>
      <c r="H204" s="3">
        <v>152.52316116860001</v>
      </c>
      <c r="O204" t="s">
        <v>128</v>
      </c>
      <c r="P204" s="3"/>
      <c r="Q204" s="3"/>
      <c r="R204" s="3"/>
      <c r="S204" s="3">
        <v>68.303298499999997</v>
      </c>
    </row>
    <row r="205" spans="1:19" x14ac:dyDescent="0.25">
      <c r="C205">
        <v>3</v>
      </c>
      <c r="D205" t="s">
        <v>127</v>
      </c>
      <c r="E205" s="3"/>
      <c r="F205" s="3"/>
      <c r="G205" s="3"/>
      <c r="H205" s="3">
        <v>178.89330839000002</v>
      </c>
      <c r="N205">
        <v>4</v>
      </c>
      <c r="O205" t="s">
        <v>127</v>
      </c>
      <c r="P205" s="3"/>
      <c r="Q205" s="3"/>
      <c r="R205" s="3"/>
      <c r="S205" s="3">
        <v>81.592117000000002</v>
      </c>
    </row>
    <row r="206" spans="1:19" x14ac:dyDescent="0.25">
      <c r="D206" t="s">
        <v>128</v>
      </c>
      <c r="E206" s="3"/>
      <c r="F206" s="3"/>
      <c r="G206" s="3"/>
      <c r="H206" s="3">
        <v>362.62516826500001</v>
      </c>
      <c r="O206" t="s">
        <v>128</v>
      </c>
      <c r="P206" s="3"/>
      <c r="Q206" s="3"/>
      <c r="R206" s="3"/>
      <c r="S206" s="3">
        <v>92.926443883198303</v>
      </c>
    </row>
    <row r="207" spans="1:19" x14ac:dyDescent="0.25">
      <c r="C207">
        <v>4</v>
      </c>
      <c r="D207" t="s">
        <v>127</v>
      </c>
      <c r="E207" s="3"/>
      <c r="F207" s="3"/>
      <c r="G207" s="3"/>
      <c r="H207" s="3">
        <v>213.13372067999995</v>
      </c>
      <c r="N207">
        <v>5</v>
      </c>
      <c r="O207" t="s">
        <v>127</v>
      </c>
      <c r="P207" s="3"/>
      <c r="Q207" s="3"/>
      <c r="R207" s="3"/>
      <c r="S207" s="3">
        <v>103.346171</v>
      </c>
    </row>
    <row r="208" spans="1:19" x14ac:dyDescent="0.25">
      <c r="D208" t="s">
        <v>128</v>
      </c>
      <c r="E208" s="3"/>
      <c r="F208" s="3"/>
      <c r="G208" s="3"/>
      <c r="H208" s="3">
        <v>532.4227571222001</v>
      </c>
      <c r="O208" t="s">
        <v>128</v>
      </c>
      <c r="P208" s="3"/>
      <c r="Q208" s="3"/>
      <c r="R208" s="3"/>
      <c r="S208" s="3">
        <v>116.17896539492568</v>
      </c>
    </row>
    <row r="209" spans="2:19" x14ac:dyDescent="0.25">
      <c r="C209">
        <v>5</v>
      </c>
      <c r="D209" t="s">
        <v>127</v>
      </c>
      <c r="E209" s="3"/>
      <c r="F209" s="3"/>
      <c r="G209" s="3"/>
      <c r="H209" s="3">
        <v>250.44666656000001</v>
      </c>
      <c r="N209">
        <v>6</v>
      </c>
      <c r="O209" t="s">
        <v>128</v>
      </c>
      <c r="P209" s="3"/>
      <c r="Q209" s="3"/>
      <c r="R209" s="3"/>
      <c r="S209" s="3">
        <v>136.60659699999999</v>
      </c>
    </row>
    <row r="210" spans="2:19" x14ac:dyDescent="0.25">
      <c r="D210" t="s">
        <v>128</v>
      </c>
      <c r="E210" s="3"/>
      <c r="F210" s="3"/>
      <c r="G210" s="3"/>
      <c r="H210" s="3">
        <v>647.23716118039999</v>
      </c>
      <c r="N210">
        <v>12</v>
      </c>
      <c r="O210" t="s">
        <v>127</v>
      </c>
      <c r="P210" s="3">
        <v>313.36688139</v>
      </c>
      <c r="Q210" s="3">
        <v>327.76360681879993</v>
      </c>
      <c r="R210" s="3">
        <v>518.27826000000005</v>
      </c>
      <c r="S210" s="3"/>
    </row>
    <row r="211" spans="2:19" x14ac:dyDescent="0.25">
      <c r="C211">
        <v>6</v>
      </c>
      <c r="D211" t="s">
        <v>128</v>
      </c>
      <c r="E211" s="3"/>
      <c r="F211" s="3"/>
      <c r="G211" s="3"/>
      <c r="H211" s="3">
        <v>901.94549111959998</v>
      </c>
      <c r="O211" t="s">
        <v>128</v>
      </c>
      <c r="P211" s="3"/>
      <c r="Q211" s="3"/>
      <c r="R211" s="3"/>
      <c r="S211" s="3">
        <v>278.80721237083196</v>
      </c>
    </row>
    <row r="212" spans="2:19" x14ac:dyDescent="0.25">
      <c r="C212">
        <v>12</v>
      </c>
      <c r="D212" t="s">
        <v>127</v>
      </c>
      <c r="E212" s="3">
        <v>939.84084400999984</v>
      </c>
      <c r="F212" s="3">
        <v>1151.3087800099997</v>
      </c>
      <c r="G212" s="3">
        <v>814.17313666000007</v>
      </c>
      <c r="H212" s="3"/>
      <c r="K212" t="s">
        <v>59</v>
      </c>
      <c r="L212" t="s">
        <v>132</v>
      </c>
      <c r="M212" t="s">
        <v>167</v>
      </c>
      <c r="N212">
        <v>12</v>
      </c>
      <c r="O212" t="s">
        <v>127</v>
      </c>
      <c r="P212" s="3">
        <v>18.476245000000002</v>
      </c>
      <c r="Q212" s="3">
        <v>8.6999999999999993</v>
      </c>
      <c r="R212" s="3"/>
      <c r="S212" s="3"/>
    </row>
    <row r="213" spans="2:19" x14ac:dyDescent="0.25">
      <c r="D213" t="s">
        <v>128</v>
      </c>
      <c r="E213" s="3"/>
      <c r="F213" s="3"/>
      <c r="G213" s="3"/>
      <c r="H213" s="3">
        <v>1436.743962</v>
      </c>
      <c r="L213" t="s">
        <v>133</v>
      </c>
      <c r="M213" t="s">
        <v>168</v>
      </c>
      <c r="N213">
        <v>12</v>
      </c>
      <c r="O213" t="s">
        <v>127</v>
      </c>
      <c r="P213" s="3">
        <v>34.225194999999999</v>
      </c>
      <c r="Q213" s="3">
        <v>33.485399999999998</v>
      </c>
      <c r="R213" s="3">
        <v>37.094473000000001</v>
      </c>
      <c r="S213" s="3"/>
    </row>
    <row r="214" spans="2:19" x14ac:dyDescent="0.25">
      <c r="B214" t="s">
        <v>103</v>
      </c>
      <c r="C214">
        <v>1</v>
      </c>
      <c r="D214" t="s">
        <v>127</v>
      </c>
      <c r="E214" s="3"/>
      <c r="F214" s="3"/>
      <c r="G214" s="3"/>
      <c r="H214" s="3">
        <v>2.2213319999999998E-2</v>
      </c>
      <c r="L214" t="s">
        <v>146</v>
      </c>
      <c r="M214" t="s">
        <v>181</v>
      </c>
      <c r="N214">
        <v>12</v>
      </c>
      <c r="O214" t="s">
        <v>127</v>
      </c>
      <c r="P214" s="3">
        <v>120.08627099999998</v>
      </c>
      <c r="Q214" s="3"/>
      <c r="R214" s="3"/>
      <c r="S214" s="3"/>
    </row>
    <row r="215" spans="2:19" x14ac:dyDescent="0.25">
      <c r="C215">
        <v>2</v>
      </c>
      <c r="D215" t="s">
        <v>127</v>
      </c>
      <c r="E215" s="3"/>
      <c r="F215" s="3"/>
      <c r="G215" s="3"/>
      <c r="H215" s="3">
        <v>4.4426639999999996E-2</v>
      </c>
      <c r="L215" t="s">
        <v>148</v>
      </c>
      <c r="M215" t="s">
        <v>183</v>
      </c>
      <c r="N215">
        <v>12</v>
      </c>
      <c r="O215" t="s">
        <v>127</v>
      </c>
      <c r="P215" s="3"/>
      <c r="Q215" s="3">
        <v>127.10607500000002</v>
      </c>
      <c r="R215" s="3">
        <v>-2.89289</v>
      </c>
      <c r="S215" s="3"/>
    </row>
    <row r="216" spans="2:19" x14ac:dyDescent="0.25">
      <c r="C216">
        <v>3</v>
      </c>
      <c r="D216" t="s">
        <v>127</v>
      </c>
      <c r="E216" s="3"/>
      <c r="F216" s="3"/>
      <c r="G216" s="3"/>
      <c r="H216" s="3">
        <v>6.6639960000000012E-2</v>
      </c>
      <c r="L216" t="s">
        <v>149</v>
      </c>
      <c r="M216" t="s">
        <v>184</v>
      </c>
      <c r="N216">
        <v>3</v>
      </c>
      <c r="O216" t="s">
        <v>127</v>
      </c>
      <c r="P216" s="3"/>
      <c r="Q216" s="3"/>
      <c r="R216" s="3"/>
      <c r="S216" s="3">
        <v>6.633</v>
      </c>
    </row>
    <row r="217" spans="2:19" x14ac:dyDescent="0.25">
      <c r="C217">
        <v>4</v>
      </c>
      <c r="D217" t="s">
        <v>127</v>
      </c>
      <c r="E217" s="3"/>
      <c r="F217" s="3"/>
      <c r="G217" s="3"/>
      <c r="H217" s="3">
        <v>8.8853279999999993E-2</v>
      </c>
      <c r="N217">
        <v>4</v>
      </c>
      <c r="O217" t="s">
        <v>127</v>
      </c>
      <c r="P217" s="3"/>
      <c r="Q217" s="3"/>
      <c r="R217" s="3"/>
      <c r="S217" s="3">
        <v>6.633</v>
      </c>
    </row>
    <row r="218" spans="2:19" x14ac:dyDescent="0.25">
      <c r="C218">
        <v>5</v>
      </c>
      <c r="D218" t="s">
        <v>127</v>
      </c>
      <c r="E218" s="3"/>
      <c r="F218" s="3"/>
      <c r="G218" s="3"/>
      <c r="H218" s="3">
        <v>0.1110666</v>
      </c>
      <c r="N218">
        <v>5</v>
      </c>
      <c r="O218" t="s">
        <v>127</v>
      </c>
      <c r="P218" s="3"/>
      <c r="Q218" s="3"/>
      <c r="R218" s="3"/>
      <c r="S218" s="3">
        <v>6.633</v>
      </c>
    </row>
    <row r="219" spans="2:19" x14ac:dyDescent="0.25">
      <c r="C219">
        <v>12</v>
      </c>
      <c r="D219" t="s">
        <v>127</v>
      </c>
      <c r="E219" s="3"/>
      <c r="F219" s="3"/>
      <c r="G219" s="3">
        <v>0.11106667999999999</v>
      </c>
      <c r="H219" s="3"/>
      <c r="N219">
        <v>12</v>
      </c>
      <c r="O219" t="s">
        <v>127</v>
      </c>
      <c r="P219" s="3"/>
      <c r="Q219" s="3">
        <v>91.850325999999981</v>
      </c>
      <c r="R219" s="3">
        <v>70.80868199999999</v>
      </c>
      <c r="S219" s="3"/>
    </row>
    <row r="220" spans="2:19" x14ac:dyDescent="0.25">
      <c r="B220" t="s">
        <v>104</v>
      </c>
      <c r="C220">
        <v>12</v>
      </c>
      <c r="D220" t="s">
        <v>127</v>
      </c>
      <c r="E220" s="3"/>
      <c r="F220" s="3">
        <v>18.399000000000001</v>
      </c>
      <c r="G220" s="3"/>
      <c r="H220" s="3"/>
      <c r="L220" t="s">
        <v>150</v>
      </c>
      <c r="M220" t="s">
        <v>185</v>
      </c>
      <c r="N220">
        <v>12</v>
      </c>
      <c r="O220" t="s">
        <v>127</v>
      </c>
      <c r="P220" s="3"/>
      <c r="Q220" s="3">
        <v>-0.49023299999999997</v>
      </c>
      <c r="R220" s="3"/>
      <c r="S220" s="3"/>
    </row>
    <row r="221" spans="2:19" x14ac:dyDescent="0.25">
      <c r="B221" t="s">
        <v>105</v>
      </c>
      <c r="C221">
        <v>1</v>
      </c>
      <c r="D221" t="s">
        <v>128</v>
      </c>
      <c r="E221" s="3"/>
      <c r="F221" s="3"/>
      <c r="G221" s="3"/>
      <c r="H221" s="3">
        <v>0</v>
      </c>
      <c r="L221" t="s">
        <v>151</v>
      </c>
      <c r="M221" t="s">
        <v>186</v>
      </c>
      <c r="N221">
        <v>3</v>
      </c>
      <c r="O221" t="s">
        <v>127</v>
      </c>
      <c r="P221" s="3"/>
      <c r="Q221" s="3"/>
      <c r="R221" s="3"/>
      <c r="S221" s="3">
        <v>4.8399999999999999E-2</v>
      </c>
    </row>
    <row r="222" spans="2:19" x14ac:dyDescent="0.25">
      <c r="C222">
        <v>2</v>
      </c>
      <c r="D222" t="s">
        <v>128</v>
      </c>
      <c r="E222" s="3"/>
      <c r="F222" s="3"/>
      <c r="G222" s="3"/>
      <c r="H222" s="3">
        <v>5</v>
      </c>
      <c r="N222">
        <v>4</v>
      </c>
      <c r="O222" t="s">
        <v>127</v>
      </c>
      <c r="P222" s="3"/>
      <c r="Q222" s="3"/>
      <c r="R222" s="3"/>
      <c r="S222" s="3">
        <v>4.8399999999999999E-2</v>
      </c>
    </row>
    <row r="223" spans="2:19" x14ac:dyDescent="0.25">
      <c r="C223">
        <v>3</v>
      </c>
      <c r="D223" t="s">
        <v>128</v>
      </c>
      <c r="E223" s="3"/>
      <c r="F223" s="3"/>
      <c r="G223" s="3"/>
      <c r="H223" s="3">
        <v>10</v>
      </c>
      <c r="N223">
        <v>5</v>
      </c>
      <c r="O223" t="s">
        <v>127</v>
      </c>
      <c r="P223" s="3"/>
      <c r="Q223" s="3"/>
      <c r="R223" s="3"/>
      <c r="S223" s="3">
        <v>4.8399999999999999E-2</v>
      </c>
    </row>
    <row r="224" spans="2:19" x14ac:dyDescent="0.25">
      <c r="C224">
        <v>4</v>
      </c>
      <c r="D224" t="s">
        <v>128</v>
      </c>
      <c r="E224" s="3"/>
      <c r="F224" s="3"/>
      <c r="G224" s="3"/>
      <c r="H224" s="3">
        <v>20</v>
      </c>
      <c r="N224">
        <v>12</v>
      </c>
      <c r="O224" t="s">
        <v>127</v>
      </c>
      <c r="P224" s="3">
        <v>0.63949999999999996</v>
      </c>
      <c r="Q224" s="3">
        <v>1.0941000000000001</v>
      </c>
      <c r="R224" s="3"/>
      <c r="S224" s="3"/>
    </row>
    <row r="225" spans="2:19" x14ac:dyDescent="0.25">
      <c r="C225">
        <v>5</v>
      </c>
      <c r="D225" t="s">
        <v>128</v>
      </c>
      <c r="E225" s="3"/>
      <c r="F225" s="3"/>
      <c r="G225" s="3"/>
      <c r="H225" s="3">
        <v>30</v>
      </c>
      <c r="L225" t="s">
        <v>153</v>
      </c>
      <c r="M225" t="s">
        <v>188</v>
      </c>
      <c r="N225">
        <v>1</v>
      </c>
      <c r="O225" t="s">
        <v>128</v>
      </c>
      <c r="P225" s="3"/>
      <c r="Q225" s="3"/>
      <c r="R225" s="3"/>
      <c r="S225" s="3">
        <v>0</v>
      </c>
    </row>
    <row r="226" spans="2:19" x14ac:dyDescent="0.25">
      <c r="C226">
        <v>6</v>
      </c>
      <c r="D226" t="s">
        <v>128</v>
      </c>
      <c r="E226" s="3"/>
      <c r="F226" s="3"/>
      <c r="G226" s="3"/>
      <c r="H226" s="3">
        <v>40</v>
      </c>
      <c r="N226">
        <v>2</v>
      </c>
      <c r="O226" t="s">
        <v>128</v>
      </c>
      <c r="P226" s="3"/>
      <c r="Q226" s="3"/>
      <c r="R226" s="3"/>
      <c r="S226" s="3">
        <v>0</v>
      </c>
    </row>
    <row r="227" spans="2:19" x14ac:dyDescent="0.25">
      <c r="C227">
        <v>12</v>
      </c>
      <c r="D227" t="s">
        <v>127</v>
      </c>
      <c r="E227" s="3">
        <v>240.602</v>
      </c>
      <c r="F227" s="3">
        <v>262.10646800000001</v>
      </c>
      <c r="G227" s="3">
        <v>81.722500000000011</v>
      </c>
      <c r="H227" s="3"/>
      <c r="N227">
        <v>3</v>
      </c>
      <c r="O227" t="s">
        <v>128</v>
      </c>
      <c r="P227" s="3"/>
      <c r="Q227" s="3"/>
      <c r="R227" s="3"/>
      <c r="S227" s="3">
        <v>0</v>
      </c>
    </row>
    <row r="228" spans="2:19" x14ac:dyDescent="0.25">
      <c r="D228" t="s">
        <v>128</v>
      </c>
      <c r="E228" s="3"/>
      <c r="F228" s="3"/>
      <c r="G228" s="3"/>
      <c r="H228" s="3">
        <v>100</v>
      </c>
      <c r="N228">
        <v>4</v>
      </c>
      <c r="O228" t="s">
        <v>128</v>
      </c>
      <c r="P228" s="3"/>
      <c r="Q228" s="3"/>
      <c r="R228" s="3"/>
      <c r="S228" s="3">
        <v>0</v>
      </c>
    </row>
    <row r="229" spans="2:19" x14ac:dyDescent="0.25">
      <c r="B229" t="s">
        <v>106</v>
      </c>
      <c r="C229">
        <v>1</v>
      </c>
      <c r="D229" t="s">
        <v>127</v>
      </c>
      <c r="E229" s="3"/>
      <c r="F229" s="3"/>
      <c r="G229" s="3"/>
      <c r="H229" s="3">
        <v>28.730228000000004</v>
      </c>
      <c r="N229">
        <v>5</v>
      </c>
      <c r="O229" t="s">
        <v>128</v>
      </c>
      <c r="P229" s="3"/>
      <c r="Q229" s="3"/>
      <c r="R229" s="3"/>
      <c r="S229" s="3">
        <v>0</v>
      </c>
    </row>
    <row r="230" spans="2:19" x14ac:dyDescent="0.25">
      <c r="D230" t="s">
        <v>128</v>
      </c>
      <c r="E230" s="3"/>
      <c r="F230" s="3"/>
      <c r="G230" s="3"/>
      <c r="H230" s="3">
        <v>11.190711324239999</v>
      </c>
      <c r="N230">
        <v>6</v>
      </c>
      <c r="O230" t="s">
        <v>128</v>
      </c>
      <c r="P230" s="3"/>
      <c r="Q230" s="3"/>
      <c r="R230" s="3"/>
      <c r="S230" s="3">
        <v>0</v>
      </c>
    </row>
    <row r="231" spans="2:19" x14ac:dyDescent="0.25">
      <c r="C231">
        <v>2</v>
      </c>
      <c r="D231" t="s">
        <v>127</v>
      </c>
      <c r="E231" s="3"/>
      <c r="F231" s="3"/>
      <c r="G231" s="3"/>
      <c r="H231" s="3">
        <v>53.696584999999999</v>
      </c>
      <c r="N231">
        <v>12</v>
      </c>
      <c r="O231" t="s">
        <v>127</v>
      </c>
      <c r="P231" s="3">
        <v>105.114993</v>
      </c>
      <c r="Q231" s="3">
        <v>1.6600000000000001</v>
      </c>
      <c r="R231" s="3">
        <v>63.635961999999999</v>
      </c>
      <c r="S231" s="3"/>
    </row>
    <row r="232" spans="2:19" x14ac:dyDescent="0.25">
      <c r="D232" t="s">
        <v>128</v>
      </c>
      <c r="E232" s="3"/>
      <c r="F232" s="3"/>
      <c r="G232" s="3"/>
      <c r="H232" s="3">
        <v>22.381422648479997</v>
      </c>
      <c r="O232" t="s">
        <v>128</v>
      </c>
      <c r="P232" s="3"/>
      <c r="Q232" s="3"/>
      <c r="R232" s="3"/>
      <c r="S232" s="3">
        <v>42</v>
      </c>
    </row>
    <row r="233" spans="2:19" x14ac:dyDescent="0.25">
      <c r="C233">
        <v>3</v>
      </c>
      <c r="D233" t="s">
        <v>127</v>
      </c>
      <c r="E233" s="3"/>
      <c r="F233" s="3"/>
      <c r="G233" s="3"/>
      <c r="H233" s="3">
        <v>76.633246</v>
      </c>
      <c r="L233" t="s">
        <v>157</v>
      </c>
      <c r="M233" t="s">
        <v>192</v>
      </c>
      <c r="N233">
        <v>12</v>
      </c>
      <c r="O233" t="s">
        <v>127</v>
      </c>
      <c r="P233" s="3">
        <v>16.596428</v>
      </c>
      <c r="Q233" s="3">
        <v>67.119780000000006</v>
      </c>
      <c r="R233" s="3">
        <v>1.66E-2</v>
      </c>
      <c r="S233" s="3"/>
    </row>
    <row r="234" spans="2:19" x14ac:dyDescent="0.25">
      <c r="D234" t="s">
        <v>128</v>
      </c>
      <c r="E234" s="3"/>
      <c r="F234" s="3"/>
      <c r="G234" s="3"/>
      <c r="H234" s="3">
        <v>33.572133972720003</v>
      </c>
      <c r="L234" t="s">
        <v>158</v>
      </c>
      <c r="M234" t="s">
        <v>193</v>
      </c>
      <c r="N234">
        <v>12</v>
      </c>
      <c r="O234" t="s">
        <v>127</v>
      </c>
      <c r="P234" s="3"/>
      <c r="Q234" s="3">
        <v>0.32</v>
      </c>
      <c r="R234" s="3"/>
      <c r="S234" s="3"/>
    </row>
    <row r="235" spans="2:19" x14ac:dyDescent="0.25">
      <c r="C235">
        <v>4</v>
      </c>
      <c r="D235" t="s">
        <v>127</v>
      </c>
      <c r="E235" s="3"/>
      <c r="F235" s="3"/>
      <c r="G235" s="3"/>
      <c r="H235" s="3">
        <v>125.41368436</v>
      </c>
      <c r="L235" t="s">
        <v>160</v>
      </c>
      <c r="M235" t="s">
        <v>195</v>
      </c>
      <c r="N235">
        <v>1</v>
      </c>
      <c r="O235" t="s">
        <v>127</v>
      </c>
      <c r="P235" s="3"/>
      <c r="Q235" s="3"/>
      <c r="R235" s="3"/>
      <c r="S235" s="3">
        <v>2.8387229999999999</v>
      </c>
    </row>
    <row r="236" spans="2:19" x14ac:dyDescent="0.25">
      <c r="D236" t="s">
        <v>128</v>
      </c>
      <c r="E236" s="3"/>
      <c r="F236" s="3"/>
      <c r="G236" s="3"/>
      <c r="H236" s="3">
        <v>44.762845296959995</v>
      </c>
      <c r="O236" t="s">
        <v>128</v>
      </c>
      <c r="P236" s="3"/>
      <c r="Q236" s="3"/>
      <c r="R236" s="3"/>
      <c r="S236" s="3">
        <v>0.2475</v>
      </c>
    </row>
    <row r="237" spans="2:19" x14ac:dyDescent="0.25">
      <c r="C237">
        <v>5</v>
      </c>
      <c r="D237" t="s">
        <v>127</v>
      </c>
      <c r="E237" s="3"/>
      <c r="F237" s="3"/>
      <c r="G237" s="3"/>
      <c r="H237" s="3">
        <v>147.39294935999999</v>
      </c>
      <c r="N237">
        <v>2</v>
      </c>
      <c r="O237" t="s">
        <v>127</v>
      </c>
      <c r="P237" s="3"/>
      <c r="Q237" s="3"/>
      <c r="R237" s="3"/>
      <c r="S237" s="3">
        <v>5.8760699999999995</v>
      </c>
    </row>
    <row r="238" spans="2:19" x14ac:dyDescent="0.25">
      <c r="D238" t="s">
        <v>128</v>
      </c>
      <c r="E238" s="3"/>
      <c r="F238" s="3"/>
      <c r="G238" s="3"/>
      <c r="H238" s="3">
        <v>55.953556621199994</v>
      </c>
      <c r="O238" t="s">
        <v>128</v>
      </c>
      <c r="P238" s="3"/>
      <c r="Q238" s="3"/>
      <c r="R238" s="3"/>
      <c r="S238" s="3">
        <v>3.2475000000000001</v>
      </c>
    </row>
    <row r="239" spans="2:19" x14ac:dyDescent="0.25">
      <c r="C239">
        <v>6</v>
      </c>
      <c r="D239" t="s">
        <v>128</v>
      </c>
      <c r="E239" s="3"/>
      <c r="F239" s="3"/>
      <c r="G239" s="3"/>
      <c r="H239" s="3">
        <v>67.144267945440006</v>
      </c>
      <c r="N239">
        <v>3</v>
      </c>
      <c r="O239" t="s">
        <v>127</v>
      </c>
      <c r="P239" s="3"/>
      <c r="Q239" s="3"/>
      <c r="R239" s="3"/>
      <c r="S239" s="3">
        <v>8.9446650000000005</v>
      </c>
    </row>
    <row r="240" spans="2:19" x14ac:dyDescent="0.25">
      <c r="C240">
        <v>12</v>
      </c>
      <c r="D240" t="s">
        <v>127</v>
      </c>
      <c r="E240" s="3">
        <v>305.66372800000005</v>
      </c>
      <c r="F240" s="3">
        <v>383.13120500000008</v>
      </c>
      <c r="G240" s="3">
        <v>377.23546305000002</v>
      </c>
      <c r="H240" s="3"/>
      <c r="O240" t="s">
        <v>128</v>
      </c>
      <c r="P240" s="3"/>
      <c r="Q240" s="3"/>
      <c r="R240" s="3"/>
      <c r="S240" s="3">
        <v>11.747499999999999</v>
      </c>
    </row>
    <row r="241" spans="2:19" x14ac:dyDescent="0.25">
      <c r="D241" t="s">
        <v>128</v>
      </c>
      <c r="E241" s="3"/>
      <c r="F241" s="3"/>
      <c r="G241" s="3"/>
      <c r="H241" s="3">
        <v>134.34227279999999</v>
      </c>
      <c r="N241">
        <v>4</v>
      </c>
      <c r="O241" t="s">
        <v>127</v>
      </c>
      <c r="P241" s="3"/>
      <c r="Q241" s="3"/>
      <c r="R241" s="3"/>
      <c r="S241" s="3">
        <v>10.656685</v>
      </c>
    </row>
    <row r="242" spans="2:19" x14ac:dyDescent="0.25">
      <c r="B242" t="s">
        <v>314</v>
      </c>
      <c r="C242">
        <v>12</v>
      </c>
      <c r="D242" t="s">
        <v>127</v>
      </c>
      <c r="E242" s="3">
        <v>47.112852000000004</v>
      </c>
      <c r="F242" s="3">
        <v>131.85074599999999</v>
      </c>
      <c r="G242" s="3">
        <v>15.765813</v>
      </c>
      <c r="H242" s="3"/>
      <c r="O242" t="s">
        <v>128</v>
      </c>
      <c r="P242" s="3"/>
      <c r="Q242" s="3"/>
      <c r="R242" s="3"/>
      <c r="S242" s="3">
        <v>19.0015</v>
      </c>
    </row>
    <row r="243" spans="2:19" x14ac:dyDescent="0.25">
      <c r="B243" t="s">
        <v>107</v>
      </c>
      <c r="C243">
        <v>5</v>
      </c>
      <c r="D243" t="s">
        <v>127</v>
      </c>
      <c r="E243" s="3"/>
      <c r="F243" s="3"/>
      <c r="G243" s="3"/>
      <c r="H243" s="3">
        <v>1.28921464</v>
      </c>
      <c r="N243">
        <v>5</v>
      </c>
      <c r="O243" t="s">
        <v>127</v>
      </c>
      <c r="P243" s="3"/>
      <c r="Q243" s="3"/>
      <c r="R243" s="3"/>
      <c r="S243" s="3">
        <v>12.522333</v>
      </c>
    </row>
    <row r="244" spans="2:19" x14ac:dyDescent="0.25">
      <c r="C244">
        <v>12</v>
      </c>
      <c r="D244" t="s">
        <v>127</v>
      </c>
      <c r="E244" s="3">
        <v>0.29383705999999998</v>
      </c>
      <c r="F244" s="3">
        <v>2.1527065399999996</v>
      </c>
      <c r="G244" s="3">
        <v>0.31585795</v>
      </c>
      <c r="H244" s="3"/>
      <c r="O244" t="s">
        <v>128</v>
      </c>
      <c r="P244" s="3"/>
      <c r="Q244" s="3"/>
      <c r="R244" s="3"/>
      <c r="S244" s="3">
        <v>23.5</v>
      </c>
    </row>
    <row r="245" spans="2:19" x14ac:dyDescent="0.25">
      <c r="B245" t="s">
        <v>108</v>
      </c>
      <c r="C245">
        <v>1</v>
      </c>
      <c r="D245" t="s">
        <v>127</v>
      </c>
      <c r="E245" s="3"/>
      <c r="F245" s="3"/>
      <c r="G245" s="3"/>
      <c r="H245" s="3">
        <v>12.782805999999999</v>
      </c>
      <c r="N245">
        <v>6</v>
      </c>
      <c r="O245" t="s">
        <v>128</v>
      </c>
      <c r="P245" s="3"/>
      <c r="Q245" s="3"/>
      <c r="R245" s="3"/>
      <c r="S245" s="3">
        <v>35</v>
      </c>
    </row>
    <row r="246" spans="2:19" x14ac:dyDescent="0.25">
      <c r="D246" t="s">
        <v>128</v>
      </c>
      <c r="E246" s="3"/>
      <c r="F246" s="3"/>
      <c r="G246" s="3"/>
      <c r="H246" s="3">
        <v>87.10129255439999</v>
      </c>
      <c r="N246">
        <v>12</v>
      </c>
      <c r="O246" t="s">
        <v>127</v>
      </c>
      <c r="P246" s="3">
        <v>59.033280999999988</v>
      </c>
      <c r="Q246" s="3">
        <v>67.848336000000003</v>
      </c>
      <c r="R246" s="3">
        <v>26.513659000000004</v>
      </c>
      <c r="S246" s="3"/>
    </row>
    <row r="247" spans="2:19" x14ac:dyDescent="0.25">
      <c r="C247">
        <v>2</v>
      </c>
      <c r="D247" t="s">
        <v>127</v>
      </c>
      <c r="E247" s="3"/>
      <c r="F247" s="3"/>
      <c r="G247" s="3"/>
      <c r="H247" s="3">
        <v>13.903586999999998</v>
      </c>
      <c r="O247" t="s">
        <v>128</v>
      </c>
      <c r="P247" s="3"/>
      <c r="Q247" s="3"/>
      <c r="R247" s="3"/>
      <c r="S247" s="3">
        <v>60</v>
      </c>
    </row>
    <row r="248" spans="2:19" x14ac:dyDescent="0.25">
      <c r="D248" t="s">
        <v>128</v>
      </c>
      <c r="E248" s="3"/>
      <c r="F248" s="3"/>
      <c r="G248" s="3"/>
      <c r="H248" s="3">
        <v>195.66979228469998</v>
      </c>
      <c r="K248" t="s">
        <v>73</v>
      </c>
      <c r="L248" t="s">
        <v>132</v>
      </c>
      <c r="M248" t="s">
        <v>167</v>
      </c>
      <c r="N248">
        <v>1</v>
      </c>
      <c r="O248" t="s">
        <v>128</v>
      </c>
      <c r="P248" s="3"/>
      <c r="Q248" s="3"/>
      <c r="R248" s="3"/>
      <c r="S248" s="3">
        <v>1.1513708057825924</v>
      </c>
    </row>
    <row r="249" spans="2:19" x14ac:dyDescent="0.25">
      <c r="C249">
        <v>3</v>
      </c>
      <c r="D249" t="s">
        <v>127</v>
      </c>
      <c r="E249" s="3"/>
      <c r="F249" s="3"/>
      <c r="G249" s="3"/>
      <c r="H249" s="3">
        <v>14.253776999999999</v>
      </c>
      <c r="N249">
        <v>2</v>
      </c>
      <c r="O249" t="s">
        <v>128</v>
      </c>
      <c r="P249" s="3"/>
      <c r="Q249" s="3"/>
      <c r="R249" s="3"/>
      <c r="S249" s="3">
        <v>2.2921278959863129</v>
      </c>
    </row>
    <row r="250" spans="2:19" x14ac:dyDescent="0.25">
      <c r="D250" t="s">
        <v>128</v>
      </c>
      <c r="E250" s="3"/>
      <c r="F250" s="3"/>
      <c r="G250" s="3"/>
      <c r="H250" s="3">
        <v>305.95027411379999</v>
      </c>
      <c r="N250">
        <v>3</v>
      </c>
      <c r="O250" t="s">
        <v>128</v>
      </c>
      <c r="P250" s="3"/>
      <c r="Q250" s="3"/>
      <c r="R250" s="3"/>
      <c r="S250" s="3">
        <v>3.4328375765077714</v>
      </c>
    </row>
    <row r="251" spans="2:19" x14ac:dyDescent="0.25">
      <c r="C251">
        <v>4</v>
      </c>
      <c r="D251" t="s">
        <v>127</v>
      </c>
      <c r="E251" s="3"/>
      <c r="F251" s="3"/>
      <c r="G251" s="3"/>
      <c r="H251" s="3">
        <v>16.534548999999998</v>
      </c>
      <c r="N251">
        <v>4</v>
      </c>
      <c r="O251" t="s">
        <v>128</v>
      </c>
      <c r="P251" s="3"/>
      <c r="Q251" s="3"/>
      <c r="R251" s="3"/>
      <c r="S251" s="3">
        <v>4.5730362490749439</v>
      </c>
    </row>
    <row r="252" spans="2:19" x14ac:dyDescent="0.25">
      <c r="D252" t="s">
        <v>128</v>
      </c>
      <c r="E252" s="3"/>
      <c r="F252" s="3"/>
      <c r="G252" s="3"/>
      <c r="H252" s="3">
        <v>393.20673653879999</v>
      </c>
      <c r="N252">
        <v>5</v>
      </c>
      <c r="O252" t="s">
        <v>128</v>
      </c>
      <c r="P252" s="3"/>
      <c r="Q252" s="3"/>
      <c r="R252" s="3"/>
      <c r="S252" s="3">
        <v>5.7133544333605109</v>
      </c>
    </row>
    <row r="253" spans="2:19" x14ac:dyDescent="0.25">
      <c r="C253">
        <v>5</v>
      </c>
      <c r="D253" t="s">
        <v>127</v>
      </c>
      <c r="E253" s="3"/>
      <c r="F253" s="3"/>
      <c r="G253" s="3"/>
      <c r="H253" s="3">
        <v>18.036828999999997</v>
      </c>
      <c r="N253">
        <v>6</v>
      </c>
      <c r="O253" t="s">
        <v>128</v>
      </c>
      <c r="P253" s="3"/>
      <c r="Q253" s="3"/>
      <c r="R253" s="3"/>
      <c r="S253" s="3">
        <v>6.906826267535858</v>
      </c>
    </row>
    <row r="254" spans="2:19" x14ac:dyDescent="0.25">
      <c r="D254" t="s">
        <v>128</v>
      </c>
      <c r="E254" s="3"/>
      <c r="F254" s="3"/>
      <c r="G254" s="3"/>
      <c r="H254" s="3">
        <v>488.43576243409996</v>
      </c>
      <c r="N254">
        <v>12</v>
      </c>
      <c r="O254" t="s">
        <v>127</v>
      </c>
      <c r="P254" s="3">
        <v>14.274001999999999</v>
      </c>
      <c r="Q254" s="3">
        <v>9.8010000000000002</v>
      </c>
      <c r="R254" s="3">
        <v>5.264977</v>
      </c>
      <c r="S254" s="3"/>
    </row>
    <row r="255" spans="2:19" x14ac:dyDescent="0.25">
      <c r="C255">
        <v>6</v>
      </c>
      <c r="D255" t="s">
        <v>128</v>
      </c>
      <c r="E255" s="3"/>
      <c r="F255" s="3"/>
      <c r="G255" s="3"/>
      <c r="H255" s="3">
        <v>584.70482581589999</v>
      </c>
      <c r="O255" t="s">
        <v>128</v>
      </c>
      <c r="P255" s="3"/>
      <c r="Q255" s="3"/>
      <c r="R255" s="3"/>
      <c r="S255" s="3">
        <v>13.807215000000001</v>
      </c>
    </row>
    <row r="256" spans="2:19" x14ac:dyDescent="0.25">
      <c r="C256">
        <v>12</v>
      </c>
      <c r="D256" t="s">
        <v>127</v>
      </c>
      <c r="E256" s="3">
        <v>39.385173999999992</v>
      </c>
      <c r="F256" s="3">
        <v>68.218475130000002</v>
      </c>
      <c r="G256" s="3">
        <v>58.221661730000008</v>
      </c>
      <c r="H256" s="3"/>
      <c r="L256" t="s">
        <v>133</v>
      </c>
      <c r="M256" t="s">
        <v>168</v>
      </c>
      <c r="N256">
        <v>12</v>
      </c>
      <c r="O256" t="s">
        <v>127</v>
      </c>
      <c r="P256" s="3">
        <v>32.165543999999997</v>
      </c>
      <c r="Q256" s="3">
        <v>27.25</v>
      </c>
      <c r="R256" s="3">
        <v>1.570082</v>
      </c>
      <c r="S256" s="3"/>
    </row>
    <row r="257" spans="2:19" x14ac:dyDescent="0.25">
      <c r="D257" t="s">
        <v>128</v>
      </c>
      <c r="E257" s="3"/>
      <c r="F257" s="3"/>
      <c r="G257" s="3"/>
      <c r="H257" s="3">
        <v>1084.4480590000001</v>
      </c>
      <c r="L257" t="s">
        <v>145</v>
      </c>
      <c r="M257" t="s">
        <v>180</v>
      </c>
      <c r="N257">
        <v>1</v>
      </c>
      <c r="O257" t="s">
        <v>128</v>
      </c>
      <c r="P257" s="3"/>
      <c r="Q257" s="3"/>
      <c r="R257" s="3"/>
      <c r="S257" s="3">
        <v>72.51742098862124</v>
      </c>
    </row>
    <row r="258" spans="2:19" x14ac:dyDescent="0.25">
      <c r="B258" t="s">
        <v>109</v>
      </c>
      <c r="C258">
        <v>1</v>
      </c>
      <c r="D258" t="s">
        <v>127</v>
      </c>
      <c r="E258" s="3"/>
      <c r="F258" s="3"/>
      <c r="G258" s="3"/>
      <c r="H258" s="3">
        <v>2.8387229999999999</v>
      </c>
      <c r="N258">
        <v>2</v>
      </c>
      <c r="O258" t="s">
        <v>127</v>
      </c>
      <c r="P258" s="3"/>
      <c r="Q258" s="3"/>
      <c r="R258" s="3"/>
      <c r="S258" s="3">
        <v>103.493831</v>
      </c>
    </row>
    <row r="259" spans="2:19" x14ac:dyDescent="0.25">
      <c r="D259" t="s">
        <v>128</v>
      </c>
      <c r="E259" s="3"/>
      <c r="F259" s="3"/>
      <c r="G259" s="3"/>
      <c r="H259" s="3">
        <v>0.2475</v>
      </c>
      <c r="O259" t="s">
        <v>128</v>
      </c>
      <c r="P259" s="3"/>
      <c r="Q259" s="3"/>
      <c r="R259" s="3"/>
      <c r="S259" s="3">
        <v>145.03484197724248</v>
      </c>
    </row>
    <row r="260" spans="2:19" x14ac:dyDescent="0.25">
      <c r="C260">
        <v>2</v>
      </c>
      <c r="D260" t="s">
        <v>127</v>
      </c>
      <c r="E260" s="3"/>
      <c r="F260" s="3"/>
      <c r="G260" s="3"/>
      <c r="H260" s="3">
        <v>5.8760699999999995</v>
      </c>
      <c r="N260">
        <v>3</v>
      </c>
      <c r="O260" t="s">
        <v>127</v>
      </c>
      <c r="P260" s="3"/>
      <c r="Q260" s="3"/>
      <c r="R260" s="3"/>
      <c r="S260" s="3">
        <v>162.32042799999999</v>
      </c>
    </row>
    <row r="261" spans="2:19" x14ac:dyDescent="0.25">
      <c r="D261" t="s">
        <v>128</v>
      </c>
      <c r="E261" s="3"/>
      <c r="F261" s="3"/>
      <c r="G261" s="3"/>
      <c r="H261" s="3">
        <v>3.2475000000000001</v>
      </c>
      <c r="O261" t="s">
        <v>128</v>
      </c>
      <c r="P261" s="3"/>
      <c r="Q261" s="3"/>
      <c r="R261" s="3"/>
      <c r="S261" s="3">
        <v>217.55226296586369</v>
      </c>
    </row>
    <row r="262" spans="2:19" x14ac:dyDescent="0.25">
      <c r="C262">
        <v>3</v>
      </c>
      <c r="D262" t="s">
        <v>127</v>
      </c>
      <c r="E262" s="3"/>
      <c r="F262" s="3"/>
      <c r="G262" s="3"/>
      <c r="H262" s="3">
        <v>15.626065000000001</v>
      </c>
      <c r="N262">
        <v>4</v>
      </c>
      <c r="O262" t="s">
        <v>127</v>
      </c>
      <c r="P262" s="3"/>
      <c r="Q262" s="3"/>
      <c r="R262" s="3"/>
      <c r="S262" s="3">
        <v>213.37133899999998</v>
      </c>
    </row>
    <row r="263" spans="2:19" x14ac:dyDescent="0.25">
      <c r="D263" t="s">
        <v>128</v>
      </c>
      <c r="E263" s="3"/>
      <c r="F263" s="3"/>
      <c r="G263" s="3"/>
      <c r="H263" s="3">
        <v>11.747499999999999</v>
      </c>
      <c r="O263" t="s">
        <v>128</v>
      </c>
      <c r="P263" s="3"/>
      <c r="Q263" s="3"/>
      <c r="R263" s="3"/>
      <c r="S263" s="3">
        <v>313.36877261038279</v>
      </c>
    </row>
    <row r="264" spans="2:19" x14ac:dyDescent="0.25">
      <c r="C264">
        <v>4</v>
      </c>
      <c r="D264" t="s">
        <v>127</v>
      </c>
      <c r="E264" s="3"/>
      <c r="F264" s="3"/>
      <c r="G264" s="3"/>
      <c r="H264" s="3">
        <v>17.338085</v>
      </c>
      <c r="N264">
        <v>5</v>
      </c>
      <c r="O264" t="s">
        <v>127</v>
      </c>
      <c r="P264" s="3"/>
      <c r="Q264" s="3"/>
      <c r="R264" s="3"/>
      <c r="S264" s="3">
        <v>266.294353</v>
      </c>
    </row>
    <row r="265" spans="2:19" x14ac:dyDescent="0.25">
      <c r="D265" t="s">
        <v>128</v>
      </c>
      <c r="E265" s="3"/>
      <c r="F265" s="3"/>
      <c r="G265" s="3"/>
      <c r="H265" s="3">
        <v>19.0015</v>
      </c>
      <c r="O265" t="s">
        <v>128</v>
      </c>
      <c r="P265" s="3"/>
      <c r="Q265" s="3"/>
      <c r="R265" s="3"/>
      <c r="S265" s="3">
        <v>391.71096576391898</v>
      </c>
    </row>
    <row r="266" spans="2:19" x14ac:dyDescent="0.25">
      <c r="C266">
        <v>5</v>
      </c>
      <c r="D266" t="s">
        <v>127</v>
      </c>
      <c r="E266" s="3"/>
      <c r="F266" s="3"/>
      <c r="G266" s="3"/>
      <c r="H266" s="3">
        <v>19.203733</v>
      </c>
      <c r="N266">
        <v>6</v>
      </c>
      <c r="O266" t="s">
        <v>128</v>
      </c>
      <c r="P266" s="3"/>
      <c r="Q266" s="3"/>
      <c r="R266" s="3"/>
      <c r="S266" s="3">
        <v>435.10452593259799</v>
      </c>
    </row>
    <row r="267" spans="2:19" x14ac:dyDescent="0.25">
      <c r="D267" t="s">
        <v>128</v>
      </c>
      <c r="E267" s="3"/>
      <c r="F267" s="3"/>
      <c r="G267" s="3"/>
      <c r="H267" s="3">
        <v>23.5</v>
      </c>
      <c r="N267">
        <v>12</v>
      </c>
      <c r="O267" t="s">
        <v>127</v>
      </c>
      <c r="P267" s="3">
        <v>821.77393700000005</v>
      </c>
      <c r="Q267" s="3">
        <v>645.11868910999999</v>
      </c>
      <c r="R267" s="3">
        <v>750.68648499999995</v>
      </c>
      <c r="S267" s="3"/>
    </row>
    <row r="268" spans="2:19" x14ac:dyDescent="0.25">
      <c r="C268">
        <v>6</v>
      </c>
      <c r="D268" t="s">
        <v>128</v>
      </c>
      <c r="E268" s="3"/>
      <c r="F268" s="3"/>
      <c r="G268" s="3"/>
      <c r="H268" s="3">
        <v>35</v>
      </c>
      <c r="O268" t="s">
        <v>128</v>
      </c>
      <c r="P268" s="3"/>
      <c r="Q268" s="3"/>
      <c r="R268" s="3"/>
      <c r="S268" s="3">
        <v>940.48250999999993</v>
      </c>
    </row>
    <row r="269" spans="2:19" x14ac:dyDescent="0.25">
      <c r="C269">
        <v>12</v>
      </c>
      <c r="D269" t="s">
        <v>127</v>
      </c>
      <c r="E269" s="3">
        <v>301.47047300000008</v>
      </c>
      <c r="F269" s="3">
        <v>356.50838400000009</v>
      </c>
      <c r="G269" s="3">
        <v>158.08201300000002</v>
      </c>
      <c r="H269" s="3"/>
      <c r="L269" t="s">
        <v>360</v>
      </c>
      <c r="M269" t="s">
        <v>362</v>
      </c>
      <c r="N269">
        <v>1</v>
      </c>
      <c r="O269" t="s">
        <v>128</v>
      </c>
      <c r="P269" s="3"/>
      <c r="Q269" s="3"/>
      <c r="R269" s="3"/>
      <c r="S269" s="3">
        <v>0</v>
      </c>
    </row>
    <row r="270" spans="2:19" x14ac:dyDescent="0.25">
      <c r="D270" t="s">
        <v>128</v>
      </c>
      <c r="E270" s="3"/>
      <c r="F270" s="3"/>
      <c r="G270" s="3"/>
      <c r="H270" s="3">
        <v>102</v>
      </c>
      <c r="N270">
        <v>2</v>
      </c>
      <c r="O270" t="s">
        <v>128</v>
      </c>
      <c r="P270" s="3"/>
      <c r="Q270" s="3"/>
      <c r="R270" s="3"/>
      <c r="S270" s="3">
        <v>0</v>
      </c>
    </row>
    <row r="271" spans="2:19" x14ac:dyDescent="0.25">
      <c r="B271" t="s">
        <v>110</v>
      </c>
      <c r="C271">
        <v>12</v>
      </c>
      <c r="D271" t="s">
        <v>127</v>
      </c>
      <c r="E271" s="3"/>
      <c r="F271" s="3">
        <v>3.5767E-2</v>
      </c>
      <c r="G271" s="3"/>
      <c r="H271" s="3"/>
      <c r="N271">
        <v>3</v>
      </c>
      <c r="O271" t="s">
        <v>128</v>
      </c>
      <c r="P271" s="3"/>
      <c r="Q271" s="3"/>
      <c r="R271" s="3"/>
      <c r="S271" s="3">
        <v>0</v>
      </c>
    </row>
    <row r="272" spans="2:19" x14ac:dyDescent="0.25">
      <c r="B272" t="s">
        <v>111</v>
      </c>
      <c r="C272">
        <v>2</v>
      </c>
      <c r="D272" t="s">
        <v>127</v>
      </c>
      <c r="E272" s="3"/>
      <c r="F272" s="3"/>
      <c r="G272" s="3"/>
      <c r="H272" s="3">
        <v>3.6696999999999997</v>
      </c>
      <c r="N272">
        <v>4</v>
      </c>
      <c r="O272" t="s">
        <v>128</v>
      </c>
      <c r="P272" s="3"/>
      <c r="Q272" s="3"/>
      <c r="R272" s="3"/>
      <c r="S272" s="3">
        <v>0</v>
      </c>
    </row>
    <row r="273" spans="2:19" x14ac:dyDescent="0.25">
      <c r="C273">
        <v>3</v>
      </c>
      <c r="D273" t="s">
        <v>127</v>
      </c>
      <c r="E273" s="3"/>
      <c r="F273" s="3"/>
      <c r="G273" s="3"/>
      <c r="H273" s="3">
        <v>3.8880999999999997</v>
      </c>
      <c r="N273">
        <v>5</v>
      </c>
      <c r="O273" t="s">
        <v>128</v>
      </c>
      <c r="P273" s="3"/>
      <c r="Q273" s="3"/>
      <c r="R273" s="3"/>
      <c r="S273" s="3">
        <v>0</v>
      </c>
    </row>
    <row r="274" spans="2:19" x14ac:dyDescent="0.25">
      <c r="C274">
        <v>4</v>
      </c>
      <c r="D274" t="s">
        <v>127</v>
      </c>
      <c r="E274" s="3"/>
      <c r="F274" s="3"/>
      <c r="G274" s="3"/>
      <c r="H274" s="3">
        <v>5.6752999999999991</v>
      </c>
      <c r="N274">
        <v>6</v>
      </c>
      <c r="O274" t="s">
        <v>128</v>
      </c>
      <c r="P274" s="3"/>
      <c r="Q274" s="3"/>
      <c r="R274" s="3"/>
      <c r="S274" s="3">
        <v>0</v>
      </c>
    </row>
    <row r="275" spans="2:19" x14ac:dyDescent="0.25">
      <c r="C275">
        <v>5</v>
      </c>
      <c r="D275" t="s">
        <v>127</v>
      </c>
      <c r="E275" s="3"/>
      <c r="F275" s="3"/>
      <c r="G275" s="3"/>
      <c r="H275" s="3">
        <v>8.1920999999999999</v>
      </c>
      <c r="N275">
        <v>12</v>
      </c>
      <c r="O275" t="s">
        <v>128</v>
      </c>
      <c r="P275" s="3"/>
      <c r="Q275" s="3"/>
      <c r="R275" s="3"/>
      <c r="S275" s="3">
        <v>0</v>
      </c>
    </row>
    <row r="276" spans="2:19" x14ac:dyDescent="0.25">
      <c r="C276">
        <v>12</v>
      </c>
      <c r="D276" t="s">
        <v>127</v>
      </c>
      <c r="E276" s="3">
        <v>140.48341146000001</v>
      </c>
      <c r="F276" s="3">
        <v>215.04985759000002</v>
      </c>
      <c r="G276" s="3">
        <v>66.064103020000005</v>
      </c>
      <c r="H276" s="3"/>
      <c r="L276" t="s">
        <v>146</v>
      </c>
      <c r="M276" t="s">
        <v>181</v>
      </c>
      <c r="N276">
        <v>1</v>
      </c>
      <c r="O276" t="s">
        <v>128</v>
      </c>
      <c r="P276" s="3"/>
      <c r="Q276" s="3"/>
      <c r="R276" s="3"/>
      <c r="S276" s="3">
        <v>18.849722094000001</v>
      </c>
    </row>
    <row r="277" spans="2:19" x14ac:dyDescent="0.25">
      <c r="B277" t="s">
        <v>205</v>
      </c>
      <c r="C277">
        <v>1</v>
      </c>
      <c r="D277" t="s">
        <v>127</v>
      </c>
      <c r="E277" s="3"/>
      <c r="F277" s="3"/>
      <c r="G277" s="3"/>
      <c r="H277" s="3">
        <v>0.62443500000000007</v>
      </c>
      <c r="N277">
        <v>2</v>
      </c>
      <c r="O277" t="s">
        <v>128</v>
      </c>
      <c r="P277" s="3"/>
      <c r="Q277" s="3"/>
      <c r="R277" s="3"/>
      <c r="S277" s="3">
        <v>37.699444188000001</v>
      </c>
    </row>
    <row r="278" spans="2:19" x14ac:dyDescent="0.25">
      <c r="D278" t="s">
        <v>128</v>
      </c>
      <c r="E278" s="3"/>
      <c r="F278" s="3"/>
      <c r="G278" s="3"/>
      <c r="H278" s="3">
        <v>2.8462499999999995E-2</v>
      </c>
      <c r="N278">
        <v>3</v>
      </c>
      <c r="O278" t="s">
        <v>128</v>
      </c>
      <c r="P278" s="3"/>
      <c r="Q278" s="3"/>
      <c r="R278" s="3"/>
      <c r="S278" s="3">
        <v>56.549166282000009</v>
      </c>
    </row>
    <row r="279" spans="2:19" x14ac:dyDescent="0.25">
      <c r="C279">
        <v>2</v>
      </c>
      <c r="D279" t="s">
        <v>127</v>
      </c>
      <c r="E279" s="3"/>
      <c r="F279" s="3"/>
      <c r="G279" s="3"/>
      <c r="H279" s="3">
        <v>1.2827919999999999</v>
      </c>
      <c r="N279">
        <v>4</v>
      </c>
      <c r="O279" t="s">
        <v>128</v>
      </c>
      <c r="P279" s="3"/>
      <c r="Q279" s="3"/>
      <c r="R279" s="3"/>
      <c r="S279" s="3">
        <v>75.398888376000002</v>
      </c>
    </row>
    <row r="280" spans="2:19" x14ac:dyDescent="0.25">
      <c r="D280" t="s">
        <v>128</v>
      </c>
      <c r="E280" s="3"/>
      <c r="F280" s="3"/>
      <c r="G280" s="3"/>
      <c r="H280" s="3">
        <v>0.37346249999999998</v>
      </c>
      <c r="N280">
        <v>5</v>
      </c>
      <c r="O280" t="s">
        <v>128</v>
      </c>
      <c r="P280" s="3"/>
      <c r="Q280" s="3"/>
      <c r="R280" s="3"/>
      <c r="S280" s="3">
        <v>94.248610470000003</v>
      </c>
    </row>
    <row r="281" spans="2:19" x14ac:dyDescent="0.25">
      <c r="C281">
        <v>3</v>
      </c>
      <c r="D281" t="s">
        <v>127</v>
      </c>
      <c r="E281" s="3"/>
      <c r="F281" s="3"/>
      <c r="G281" s="3"/>
      <c r="H281" s="3">
        <v>1.9502359999999999</v>
      </c>
      <c r="N281">
        <v>6</v>
      </c>
      <c r="O281" t="s">
        <v>128</v>
      </c>
      <c r="P281" s="3"/>
      <c r="Q281" s="3"/>
      <c r="R281" s="3"/>
      <c r="S281" s="3">
        <v>113.09833256400002</v>
      </c>
    </row>
    <row r="282" spans="2:19" x14ac:dyDescent="0.25">
      <c r="D282" t="s">
        <v>128</v>
      </c>
      <c r="E282" s="3"/>
      <c r="F282" s="3"/>
      <c r="G282" s="3"/>
      <c r="H282" s="3">
        <v>1.3509625000000001</v>
      </c>
      <c r="N282">
        <v>12</v>
      </c>
      <c r="O282" t="s">
        <v>127</v>
      </c>
      <c r="P282" s="3">
        <v>9.5851229999999994</v>
      </c>
      <c r="Q282" s="3"/>
      <c r="R282" s="3"/>
      <c r="S282" s="3"/>
    </row>
    <row r="283" spans="2:19" x14ac:dyDescent="0.25">
      <c r="C283">
        <v>4</v>
      </c>
      <c r="D283" t="s">
        <v>127</v>
      </c>
      <c r="E283" s="3"/>
      <c r="F283" s="3"/>
      <c r="G283" s="3"/>
      <c r="H283" s="3">
        <v>2.330613</v>
      </c>
      <c r="O283" t="s">
        <v>128</v>
      </c>
      <c r="P283" s="3"/>
      <c r="Q283" s="3"/>
      <c r="R283" s="3"/>
      <c r="S283" s="3">
        <v>226.28718000000001</v>
      </c>
    </row>
    <row r="284" spans="2:19" x14ac:dyDescent="0.25">
      <c r="D284" t="s">
        <v>128</v>
      </c>
      <c r="E284" s="3"/>
      <c r="F284" s="3"/>
      <c r="G284" s="3"/>
      <c r="H284" s="3">
        <v>2.1851725000000002</v>
      </c>
      <c r="L284" t="s">
        <v>147</v>
      </c>
      <c r="M284" t="s">
        <v>182</v>
      </c>
      <c r="N284">
        <v>12</v>
      </c>
      <c r="O284" t="s">
        <v>127</v>
      </c>
      <c r="P284" s="3">
        <v>9.14</v>
      </c>
      <c r="Q284" s="3"/>
      <c r="R284" s="3"/>
      <c r="S284" s="3"/>
    </row>
    <row r="285" spans="2:19" x14ac:dyDescent="0.25">
      <c r="C285">
        <v>5</v>
      </c>
      <c r="D285" t="s">
        <v>127</v>
      </c>
      <c r="E285" s="3"/>
      <c r="F285" s="3"/>
      <c r="G285" s="3"/>
      <c r="H285" s="3">
        <v>2.7338269999999998</v>
      </c>
      <c r="L285" t="s">
        <v>148</v>
      </c>
      <c r="M285" t="s">
        <v>183</v>
      </c>
      <c r="N285">
        <v>12</v>
      </c>
      <c r="O285" t="s">
        <v>127</v>
      </c>
      <c r="P285" s="3"/>
      <c r="Q285" s="3">
        <v>9.7074999999999996</v>
      </c>
      <c r="R285" s="3">
        <v>-3.2031999999999998</v>
      </c>
      <c r="S285" s="3"/>
    </row>
    <row r="286" spans="2:19" x14ac:dyDescent="0.25">
      <c r="D286" t="s">
        <v>128</v>
      </c>
      <c r="E286" s="3"/>
      <c r="F286" s="3"/>
      <c r="G286" s="3"/>
      <c r="H286" s="3">
        <v>2.7024999999999997</v>
      </c>
      <c r="L286" t="s">
        <v>149</v>
      </c>
      <c r="M286" t="s">
        <v>184</v>
      </c>
      <c r="N286">
        <v>12</v>
      </c>
      <c r="O286" t="s">
        <v>127</v>
      </c>
      <c r="P286" s="3"/>
      <c r="Q286" s="3">
        <v>-3.4778669999999998</v>
      </c>
      <c r="R286" s="3">
        <v>0.3</v>
      </c>
      <c r="S286" s="3"/>
    </row>
    <row r="287" spans="2:19" x14ac:dyDescent="0.25">
      <c r="C287">
        <v>6</v>
      </c>
      <c r="D287" t="s">
        <v>128</v>
      </c>
      <c r="E287" s="3"/>
      <c r="F287" s="3"/>
      <c r="G287" s="3"/>
      <c r="H287" s="3">
        <v>4.0250000000000004</v>
      </c>
      <c r="L287" t="s">
        <v>250</v>
      </c>
      <c r="M287" t="s">
        <v>358</v>
      </c>
      <c r="N287">
        <v>1</v>
      </c>
      <c r="O287" t="s">
        <v>128</v>
      </c>
      <c r="P287" s="3"/>
      <c r="Q287" s="3"/>
      <c r="R287" s="3"/>
      <c r="S287" s="3">
        <v>2.8244281100000001E-2</v>
      </c>
    </row>
    <row r="288" spans="2:19" x14ac:dyDescent="0.25">
      <c r="C288">
        <v>12</v>
      </c>
      <c r="D288" t="s">
        <v>127</v>
      </c>
      <c r="E288" s="3">
        <v>6.8612737900000003</v>
      </c>
      <c r="F288" s="3">
        <v>14.819883519999999</v>
      </c>
      <c r="G288" s="3">
        <v>7.8688954399999993</v>
      </c>
      <c r="H288" s="3"/>
      <c r="N288">
        <v>2</v>
      </c>
      <c r="O288" t="s">
        <v>128</v>
      </c>
      <c r="P288" s="3"/>
      <c r="Q288" s="3"/>
      <c r="R288" s="3"/>
      <c r="S288" s="3">
        <v>5.6488562200000002E-2</v>
      </c>
    </row>
    <row r="289" spans="1:19" x14ac:dyDescent="0.25">
      <c r="D289" t="s">
        <v>128</v>
      </c>
      <c r="E289" s="3"/>
      <c r="F289" s="3"/>
      <c r="G289" s="3"/>
      <c r="H289" s="3">
        <v>6.9</v>
      </c>
      <c r="N289">
        <v>3</v>
      </c>
      <c r="O289" t="s">
        <v>128</v>
      </c>
      <c r="P289" s="3"/>
      <c r="Q289" s="3"/>
      <c r="R289" s="3"/>
      <c r="S289" s="3">
        <v>8.4732843300000013E-2</v>
      </c>
    </row>
    <row r="290" spans="1:19" x14ac:dyDescent="0.25">
      <c r="B290" t="s">
        <v>112</v>
      </c>
      <c r="C290">
        <v>12</v>
      </c>
      <c r="D290" t="s">
        <v>127</v>
      </c>
      <c r="E290" s="3">
        <v>7.1781520000000001E-2</v>
      </c>
      <c r="F290" s="3"/>
      <c r="G290" s="3">
        <v>0.10284453</v>
      </c>
      <c r="H290" s="3"/>
      <c r="N290">
        <v>4</v>
      </c>
      <c r="O290" t="s">
        <v>128</v>
      </c>
      <c r="P290" s="3"/>
      <c r="Q290" s="3"/>
      <c r="R290" s="3"/>
      <c r="S290" s="3">
        <v>0.1129771244</v>
      </c>
    </row>
    <row r="291" spans="1:19" x14ac:dyDescent="0.25">
      <c r="B291" t="s">
        <v>113</v>
      </c>
      <c r="C291">
        <v>12</v>
      </c>
      <c r="D291" t="s">
        <v>127</v>
      </c>
      <c r="E291" s="3">
        <v>52.701440000000005</v>
      </c>
      <c r="F291" s="3">
        <v>42.185400000000001</v>
      </c>
      <c r="G291" s="3">
        <v>37.094473000000001</v>
      </c>
      <c r="H291" s="3"/>
      <c r="N291">
        <v>5</v>
      </c>
      <c r="O291" t="s">
        <v>128</v>
      </c>
      <c r="P291" s="3"/>
      <c r="Q291" s="3"/>
      <c r="R291" s="3"/>
      <c r="S291" s="3">
        <v>0.14122140549999998</v>
      </c>
    </row>
    <row r="292" spans="1:19" x14ac:dyDescent="0.25">
      <c r="B292" t="s">
        <v>114</v>
      </c>
      <c r="C292">
        <v>12</v>
      </c>
      <c r="D292" t="s">
        <v>127</v>
      </c>
      <c r="E292" s="3"/>
      <c r="F292" s="3">
        <v>12.212389999999999</v>
      </c>
      <c r="G292" s="3"/>
      <c r="H292" s="3"/>
      <c r="N292">
        <v>6</v>
      </c>
      <c r="O292" t="s">
        <v>128</v>
      </c>
      <c r="P292" s="3"/>
      <c r="Q292" s="3"/>
      <c r="R292" s="3"/>
      <c r="S292" s="3">
        <v>0.16946568660000003</v>
      </c>
    </row>
    <row r="293" spans="1:19" x14ac:dyDescent="0.25">
      <c r="B293" t="s">
        <v>115</v>
      </c>
      <c r="C293">
        <v>12</v>
      </c>
      <c r="D293" t="s">
        <v>127</v>
      </c>
      <c r="E293" s="3">
        <v>2.0448</v>
      </c>
      <c r="F293" s="3">
        <v>0.32827080000000003</v>
      </c>
      <c r="G293" s="3">
        <v>1.734</v>
      </c>
      <c r="H293" s="3"/>
      <c r="N293">
        <v>12</v>
      </c>
      <c r="O293" t="s">
        <v>128</v>
      </c>
      <c r="P293" s="3"/>
      <c r="Q293" s="3"/>
      <c r="R293" s="3"/>
      <c r="S293" s="3">
        <v>0.33906700000000001</v>
      </c>
    </row>
    <row r="294" spans="1:19" x14ac:dyDescent="0.25">
      <c r="B294" t="s">
        <v>116</v>
      </c>
      <c r="C294">
        <v>12</v>
      </c>
      <c r="D294" t="s">
        <v>127</v>
      </c>
      <c r="E294" s="3">
        <v>2.25</v>
      </c>
      <c r="F294" s="3"/>
      <c r="G294" s="3">
        <v>6.1650000000000003E-2</v>
      </c>
      <c r="H294" s="3"/>
      <c r="L294" t="s">
        <v>151</v>
      </c>
      <c r="M294" t="s">
        <v>186</v>
      </c>
      <c r="N294">
        <v>1</v>
      </c>
      <c r="O294" t="s">
        <v>128</v>
      </c>
      <c r="P294" s="3"/>
      <c r="Q294" s="3"/>
      <c r="R294" s="3"/>
      <c r="S294" s="3">
        <v>0</v>
      </c>
    </row>
    <row r="295" spans="1:19" x14ac:dyDescent="0.25">
      <c r="B295" t="s">
        <v>120</v>
      </c>
      <c r="C295">
        <v>12</v>
      </c>
      <c r="D295" t="s">
        <v>127</v>
      </c>
      <c r="E295" s="3">
        <v>6.4103497299999992</v>
      </c>
      <c r="F295" s="3">
        <v>3.0560249600000002</v>
      </c>
      <c r="G295" s="3">
        <v>1.5062063799999998</v>
      </c>
      <c r="H295" s="3"/>
      <c r="N295">
        <v>2</v>
      </c>
      <c r="O295" t="s">
        <v>128</v>
      </c>
      <c r="P295" s="3"/>
      <c r="Q295" s="3"/>
      <c r="R295" s="3"/>
      <c r="S295" s="3">
        <v>0</v>
      </c>
    </row>
    <row r="296" spans="1:19" x14ac:dyDescent="0.25">
      <c r="A296" t="s">
        <v>73</v>
      </c>
      <c r="B296" t="s">
        <v>105</v>
      </c>
      <c r="C296">
        <v>12</v>
      </c>
      <c r="D296" t="s">
        <v>127</v>
      </c>
      <c r="E296" s="3">
        <v>3.7920959999999999</v>
      </c>
      <c r="F296" s="3">
        <v>3.5133100000000002</v>
      </c>
      <c r="G296" s="3">
        <v>0.39600000000000002</v>
      </c>
      <c r="H296" s="3"/>
      <c r="N296">
        <v>3</v>
      </c>
      <c r="O296" t="s">
        <v>128</v>
      </c>
      <c r="P296" s="3"/>
      <c r="Q296" s="3"/>
      <c r="R296" s="3"/>
      <c r="S296" s="3">
        <v>0</v>
      </c>
    </row>
    <row r="297" spans="1:19" x14ac:dyDescent="0.25">
      <c r="B297" t="s">
        <v>106</v>
      </c>
      <c r="C297">
        <v>1</v>
      </c>
      <c r="D297" t="s">
        <v>127</v>
      </c>
      <c r="E297" s="3"/>
      <c r="F297" s="3"/>
      <c r="G297" s="3"/>
      <c r="H297" s="3">
        <v>53.960746999999998</v>
      </c>
      <c r="N297">
        <v>4</v>
      </c>
      <c r="O297" t="s">
        <v>128</v>
      </c>
      <c r="P297" s="3"/>
      <c r="Q297" s="3"/>
      <c r="R297" s="3"/>
      <c r="S297" s="3">
        <v>0</v>
      </c>
    </row>
    <row r="298" spans="1:19" x14ac:dyDescent="0.25">
      <c r="D298" t="s">
        <v>128</v>
      </c>
      <c r="E298" s="3"/>
      <c r="F298" s="3"/>
      <c r="G298" s="3"/>
      <c r="H298" s="3">
        <v>49.409171484541957</v>
      </c>
      <c r="N298">
        <v>5</v>
      </c>
      <c r="O298" t="s">
        <v>128</v>
      </c>
      <c r="P298" s="3"/>
      <c r="Q298" s="3"/>
      <c r="R298" s="3"/>
      <c r="S298" s="3">
        <v>0</v>
      </c>
    </row>
    <row r="299" spans="1:19" x14ac:dyDescent="0.25">
      <c r="C299">
        <v>2</v>
      </c>
      <c r="D299" t="s">
        <v>127</v>
      </c>
      <c r="E299" s="3"/>
      <c r="F299" s="3"/>
      <c r="G299" s="3"/>
      <c r="H299" s="3">
        <v>102.94293900000001</v>
      </c>
      <c r="N299">
        <v>6</v>
      </c>
      <c r="O299" t="s">
        <v>128</v>
      </c>
      <c r="P299" s="3"/>
      <c r="Q299" s="3"/>
      <c r="R299" s="3"/>
      <c r="S299" s="3">
        <v>0.36</v>
      </c>
    </row>
    <row r="300" spans="1:19" x14ac:dyDescent="0.25">
      <c r="D300" t="s">
        <v>128</v>
      </c>
      <c r="E300" s="3"/>
      <c r="F300" s="3"/>
      <c r="G300" s="3"/>
      <c r="H300" s="3">
        <v>98.818342969083915</v>
      </c>
      <c r="N300">
        <v>12</v>
      </c>
      <c r="O300" t="s">
        <v>127</v>
      </c>
      <c r="P300" s="3">
        <v>1.2238</v>
      </c>
      <c r="Q300" s="3">
        <v>4.9257499999999999</v>
      </c>
      <c r="R300" s="3">
        <v>0.38345000000000001</v>
      </c>
      <c r="S300" s="3"/>
    </row>
    <row r="301" spans="1:19" x14ac:dyDescent="0.25">
      <c r="C301">
        <v>3</v>
      </c>
      <c r="D301" t="s">
        <v>127</v>
      </c>
      <c r="E301" s="3"/>
      <c r="F301" s="3"/>
      <c r="G301" s="3"/>
      <c r="H301" s="3">
        <v>161.79462380000001</v>
      </c>
      <c r="O301" t="s">
        <v>128</v>
      </c>
      <c r="P301" s="3"/>
      <c r="Q301" s="3"/>
      <c r="R301" s="3"/>
      <c r="S301" s="3">
        <v>1.2</v>
      </c>
    </row>
    <row r="302" spans="1:19" x14ac:dyDescent="0.25">
      <c r="D302" t="s">
        <v>128</v>
      </c>
      <c r="E302" s="3"/>
      <c r="F302" s="3"/>
      <c r="G302" s="3"/>
      <c r="H302" s="3">
        <v>148.2275144536259</v>
      </c>
      <c r="L302" t="s">
        <v>153</v>
      </c>
      <c r="M302" t="s">
        <v>188</v>
      </c>
      <c r="N302">
        <v>1</v>
      </c>
      <c r="O302" t="s">
        <v>128</v>
      </c>
      <c r="P302" s="3"/>
      <c r="Q302" s="3"/>
      <c r="R302" s="3"/>
      <c r="S302" s="3">
        <v>0</v>
      </c>
    </row>
    <row r="303" spans="1:19" x14ac:dyDescent="0.25">
      <c r="C303">
        <v>4</v>
      </c>
      <c r="D303" t="s">
        <v>127</v>
      </c>
      <c r="E303" s="3"/>
      <c r="F303" s="3"/>
      <c r="G303" s="3"/>
      <c r="H303" s="3">
        <v>212.76926875999999</v>
      </c>
      <c r="N303">
        <v>2</v>
      </c>
      <c r="O303" t="s">
        <v>128</v>
      </c>
      <c r="P303" s="3"/>
      <c r="Q303" s="3"/>
      <c r="R303" s="3"/>
      <c r="S303" s="3">
        <v>0</v>
      </c>
    </row>
    <row r="304" spans="1:19" x14ac:dyDescent="0.25">
      <c r="D304" t="s">
        <v>128</v>
      </c>
      <c r="E304" s="3"/>
      <c r="F304" s="3"/>
      <c r="G304" s="3"/>
      <c r="H304" s="3">
        <v>197.63668593816783</v>
      </c>
      <c r="N304">
        <v>3</v>
      </c>
      <c r="O304" t="s">
        <v>128</v>
      </c>
      <c r="P304" s="3"/>
      <c r="Q304" s="3"/>
      <c r="R304" s="3"/>
      <c r="S304" s="3">
        <v>0</v>
      </c>
    </row>
    <row r="305" spans="2:19" x14ac:dyDescent="0.25">
      <c r="C305">
        <v>5</v>
      </c>
      <c r="D305" t="s">
        <v>127</v>
      </c>
      <c r="E305" s="3"/>
      <c r="F305" s="3"/>
      <c r="G305" s="3"/>
      <c r="H305" s="3">
        <v>263.87998676000001</v>
      </c>
      <c r="N305">
        <v>4</v>
      </c>
      <c r="O305" t="s">
        <v>128</v>
      </c>
      <c r="P305" s="3"/>
      <c r="Q305" s="3"/>
      <c r="R305" s="3"/>
      <c r="S305" s="3">
        <v>0</v>
      </c>
    </row>
    <row r="306" spans="2:19" x14ac:dyDescent="0.25">
      <c r="D306" t="s">
        <v>128</v>
      </c>
      <c r="E306" s="3"/>
      <c r="F306" s="3"/>
      <c r="G306" s="3"/>
      <c r="H306" s="3">
        <v>247.04585742270979</v>
      </c>
      <c r="N306">
        <v>5</v>
      </c>
      <c r="O306" t="s">
        <v>128</v>
      </c>
      <c r="P306" s="3"/>
      <c r="Q306" s="3"/>
      <c r="R306" s="3"/>
      <c r="S306" s="3">
        <v>0</v>
      </c>
    </row>
    <row r="307" spans="2:19" x14ac:dyDescent="0.25">
      <c r="C307">
        <v>6</v>
      </c>
      <c r="D307" t="s">
        <v>128</v>
      </c>
      <c r="E307" s="3"/>
      <c r="F307" s="3"/>
      <c r="G307" s="3"/>
      <c r="H307" s="3">
        <v>296.4550289072518</v>
      </c>
      <c r="N307">
        <v>6</v>
      </c>
      <c r="O307" t="s">
        <v>128</v>
      </c>
      <c r="P307" s="3"/>
      <c r="Q307" s="3"/>
      <c r="R307" s="3"/>
      <c r="S307" s="3">
        <v>0</v>
      </c>
    </row>
    <row r="308" spans="2:19" x14ac:dyDescent="0.25">
      <c r="C308">
        <v>12</v>
      </c>
      <c r="D308" t="s">
        <v>127</v>
      </c>
      <c r="E308" s="3">
        <v>692.07665299999996</v>
      </c>
      <c r="F308" s="3">
        <v>655.30436500000008</v>
      </c>
      <c r="G308" s="3">
        <v>757.14892319</v>
      </c>
      <c r="H308" s="3"/>
      <c r="N308">
        <v>12</v>
      </c>
      <c r="O308" t="s">
        <v>127</v>
      </c>
      <c r="P308" s="3">
        <v>67.074681999999996</v>
      </c>
      <c r="Q308" s="3">
        <v>5.7279999999999998</v>
      </c>
      <c r="R308" s="3">
        <v>3.8712</v>
      </c>
      <c r="S308" s="3"/>
    </row>
    <row r="309" spans="2:19" x14ac:dyDescent="0.25">
      <c r="D309" t="s">
        <v>128</v>
      </c>
      <c r="E309" s="3"/>
      <c r="F309" s="3"/>
      <c r="G309" s="3"/>
      <c r="H309" s="3">
        <v>593.35731674120007</v>
      </c>
      <c r="O309" t="s">
        <v>128</v>
      </c>
      <c r="P309" s="3"/>
      <c r="Q309" s="3"/>
      <c r="R309" s="3"/>
      <c r="S309" s="3">
        <v>0</v>
      </c>
    </row>
    <row r="310" spans="2:19" x14ac:dyDescent="0.25">
      <c r="B310" t="s">
        <v>314</v>
      </c>
      <c r="C310">
        <v>1</v>
      </c>
      <c r="D310" t="s">
        <v>128</v>
      </c>
      <c r="E310" s="3"/>
      <c r="F310" s="3"/>
      <c r="G310" s="3"/>
      <c r="H310" s="3">
        <v>0</v>
      </c>
      <c r="L310" t="s">
        <v>157</v>
      </c>
      <c r="M310" t="s">
        <v>192</v>
      </c>
      <c r="N310">
        <v>1</v>
      </c>
      <c r="O310" t="s">
        <v>128</v>
      </c>
      <c r="P310" s="3"/>
      <c r="Q310" s="3"/>
      <c r="R310" s="3"/>
      <c r="S310" s="3">
        <v>0.36135398880000003</v>
      </c>
    </row>
    <row r="311" spans="2:19" x14ac:dyDescent="0.25">
      <c r="C311">
        <v>2</v>
      </c>
      <c r="D311" t="s">
        <v>128</v>
      </c>
      <c r="E311" s="3"/>
      <c r="F311" s="3"/>
      <c r="G311" s="3"/>
      <c r="H311" s="3">
        <v>0</v>
      </c>
      <c r="N311">
        <v>2</v>
      </c>
      <c r="O311" t="s">
        <v>128</v>
      </c>
      <c r="P311" s="3"/>
      <c r="Q311" s="3"/>
      <c r="R311" s="3"/>
      <c r="S311" s="3">
        <v>0.69598814040000001</v>
      </c>
    </row>
    <row r="312" spans="2:19" x14ac:dyDescent="0.25">
      <c r="C312">
        <v>3</v>
      </c>
      <c r="D312" t="s">
        <v>128</v>
      </c>
      <c r="E312" s="3"/>
      <c r="F312" s="3"/>
      <c r="G312" s="3"/>
      <c r="H312" s="3">
        <v>0</v>
      </c>
      <c r="N312">
        <v>3</v>
      </c>
      <c r="O312" t="s">
        <v>128</v>
      </c>
      <c r="P312" s="3"/>
      <c r="Q312" s="3"/>
      <c r="R312" s="3"/>
      <c r="S312" s="3">
        <v>0.87666513479999997</v>
      </c>
    </row>
    <row r="313" spans="2:19" x14ac:dyDescent="0.25">
      <c r="C313">
        <v>4</v>
      </c>
      <c r="D313" t="s">
        <v>128</v>
      </c>
      <c r="E313" s="3"/>
      <c r="F313" s="3"/>
      <c r="G313" s="3"/>
      <c r="H313" s="3">
        <v>0</v>
      </c>
      <c r="N313">
        <v>4</v>
      </c>
      <c r="O313" t="s">
        <v>128</v>
      </c>
      <c r="P313" s="3"/>
      <c r="Q313" s="3"/>
      <c r="R313" s="3"/>
      <c r="S313" s="3">
        <v>1.1658119444999999</v>
      </c>
    </row>
    <row r="314" spans="2:19" x14ac:dyDescent="0.25">
      <c r="C314">
        <v>5</v>
      </c>
      <c r="D314" t="s">
        <v>128</v>
      </c>
      <c r="E314" s="3"/>
      <c r="F314" s="3"/>
      <c r="G314" s="3"/>
      <c r="H314" s="3">
        <v>0</v>
      </c>
      <c r="N314">
        <v>5</v>
      </c>
      <c r="O314" t="s">
        <v>128</v>
      </c>
      <c r="P314" s="3"/>
      <c r="Q314" s="3"/>
      <c r="R314" s="3"/>
      <c r="S314" s="3">
        <v>1.5001280027999999</v>
      </c>
    </row>
    <row r="315" spans="2:19" x14ac:dyDescent="0.25">
      <c r="C315">
        <v>6</v>
      </c>
      <c r="D315" t="s">
        <v>128</v>
      </c>
      <c r="E315" s="3"/>
      <c r="F315" s="3"/>
      <c r="G315" s="3"/>
      <c r="H315" s="3">
        <v>0</v>
      </c>
      <c r="N315">
        <v>6</v>
      </c>
      <c r="O315" t="s">
        <v>128</v>
      </c>
      <c r="P315" s="3"/>
      <c r="Q315" s="3"/>
      <c r="R315" s="3"/>
      <c r="S315" s="3">
        <v>1.5904665</v>
      </c>
    </row>
    <row r="316" spans="2:19" x14ac:dyDescent="0.25">
      <c r="C316">
        <v>12</v>
      </c>
      <c r="D316" t="s">
        <v>127</v>
      </c>
      <c r="E316" s="3">
        <v>70.78062700000001</v>
      </c>
      <c r="F316" s="3">
        <v>41.832636000000001</v>
      </c>
      <c r="G316" s="3"/>
      <c r="H316" s="3"/>
      <c r="N316">
        <v>12</v>
      </c>
      <c r="O316" t="s">
        <v>127</v>
      </c>
      <c r="P316" s="3">
        <v>12.657629999999999</v>
      </c>
      <c r="Q316" s="3">
        <v>19.348320000000001</v>
      </c>
      <c r="R316" s="3">
        <v>3.2121499999999998</v>
      </c>
      <c r="S316" s="3"/>
    </row>
    <row r="317" spans="2:19" x14ac:dyDescent="0.25">
      <c r="D317" t="s">
        <v>128</v>
      </c>
      <c r="E317" s="3"/>
      <c r="F317" s="3"/>
      <c r="G317" s="3"/>
      <c r="H317" s="3">
        <v>0</v>
      </c>
      <c r="O317" t="s">
        <v>128</v>
      </c>
      <c r="P317" s="3"/>
      <c r="Q317" s="3"/>
      <c r="R317" s="3"/>
      <c r="S317" s="3">
        <v>3.180933</v>
      </c>
    </row>
    <row r="318" spans="2:19" x14ac:dyDescent="0.25">
      <c r="B318" t="s">
        <v>107</v>
      </c>
      <c r="C318">
        <v>4</v>
      </c>
      <c r="D318" t="s">
        <v>127</v>
      </c>
      <c r="E318" s="3"/>
      <c r="F318" s="3"/>
      <c r="G318" s="3"/>
      <c r="H318" s="3">
        <v>5.0540040000000001E-2</v>
      </c>
      <c r="L318" t="s">
        <v>158</v>
      </c>
      <c r="M318" t="s">
        <v>193</v>
      </c>
      <c r="N318">
        <v>1</v>
      </c>
      <c r="O318" t="s">
        <v>128</v>
      </c>
      <c r="P318" s="3"/>
      <c r="Q318" s="3"/>
      <c r="R318" s="3"/>
      <c r="S318" s="3">
        <v>0</v>
      </c>
    </row>
    <row r="319" spans="2:19" x14ac:dyDescent="0.25">
      <c r="C319">
        <v>5</v>
      </c>
      <c r="D319" t="s">
        <v>127</v>
      </c>
      <c r="E319" s="3"/>
      <c r="F319" s="3"/>
      <c r="G319" s="3"/>
      <c r="H319" s="3">
        <v>5.0540040000000001E-2</v>
      </c>
      <c r="N319">
        <v>2</v>
      </c>
      <c r="O319" t="s">
        <v>128</v>
      </c>
      <c r="P319" s="3"/>
      <c r="Q319" s="3"/>
      <c r="R319" s="3"/>
      <c r="S319" s="3">
        <v>0</v>
      </c>
    </row>
    <row r="320" spans="2:19" x14ac:dyDescent="0.25">
      <c r="C320">
        <v>12</v>
      </c>
      <c r="D320" t="s">
        <v>127</v>
      </c>
      <c r="E320" s="3">
        <v>0.40586038000000002</v>
      </c>
      <c r="F320" s="3">
        <v>4.2957169999999996E-2</v>
      </c>
      <c r="G320" s="3">
        <v>0.22380380999999999</v>
      </c>
      <c r="H320" s="3"/>
      <c r="N320">
        <v>3</v>
      </c>
      <c r="O320" t="s">
        <v>128</v>
      </c>
      <c r="P320" s="3"/>
      <c r="Q320" s="3"/>
      <c r="R320" s="3"/>
      <c r="S320" s="3">
        <v>0</v>
      </c>
    </row>
    <row r="321" spans="2:19" x14ac:dyDescent="0.25">
      <c r="B321" t="s">
        <v>108</v>
      </c>
      <c r="C321">
        <v>1</v>
      </c>
      <c r="D321" t="s">
        <v>127</v>
      </c>
      <c r="E321" s="3"/>
      <c r="F321" s="3"/>
      <c r="G321" s="3"/>
      <c r="H321" s="3">
        <v>0.15870400000000001</v>
      </c>
      <c r="N321">
        <v>4</v>
      </c>
      <c r="O321" t="s">
        <v>128</v>
      </c>
      <c r="P321" s="3"/>
      <c r="Q321" s="3"/>
      <c r="R321" s="3"/>
      <c r="S321" s="3">
        <v>0</v>
      </c>
    </row>
    <row r="322" spans="2:19" x14ac:dyDescent="0.25">
      <c r="D322" t="s">
        <v>128</v>
      </c>
      <c r="E322" s="3"/>
      <c r="F322" s="3"/>
      <c r="G322" s="3"/>
      <c r="H322" s="3">
        <v>11.088797488600001</v>
      </c>
      <c r="N322">
        <v>5</v>
      </c>
      <c r="O322" t="s">
        <v>128</v>
      </c>
      <c r="P322" s="3"/>
      <c r="Q322" s="3"/>
      <c r="R322" s="3"/>
      <c r="S322" s="3">
        <v>0</v>
      </c>
    </row>
    <row r="323" spans="2:19" x14ac:dyDescent="0.25">
      <c r="C323">
        <v>2</v>
      </c>
      <c r="D323" t="s">
        <v>127</v>
      </c>
      <c r="E323" s="3"/>
      <c r="F323" s="3"/>
      <c r="G323" s="3"/>
      <c r="H323" s="3">
        <v>0.252558</v>
      </c>
      <c r="N323">
        <v>6</v>
      </c>
      <c r="O323" t="s">
        <v>128</v>
      </c>
      <c r="P323" s="3"/>
      <c r="Q323" s="3"/>
      <c r="R323" s="3"/>
      <c r="S323" s="3">
        <v>0</v>
      </c>
    </row>
    <row r="324" spans="2:19" x14ac:dyDescent="0.25">
      <c r="D324" t="s">
        <v>128</v>
      </c>
      <c r="E324" s="3"/>
      <c r="F324" s="3"/>
      <c r="G324" s="3"/>
      <c r="H324" s="3">
        <v>21.766294977199998</v>
      </c>
      <c r="N324">
        <v>12</v>
      </c>
      <c r="O324" t="s">
        <v>127</v>
      </c>
      <c r="P324" s="3">
        <v>0.45</v>
      </c>
      <c r="Q324" s="3">
        <v>0.92</v>
      </c>
      <c r="R324" s="3">
        <v>0.34</v>
      </c>
      <c r="S324" s="3"/>
    </row>
    <row r="325" spans="2:19" x14ac:dyDescent="0.25">
      <c r="C325">
        <v>3</v>
      </c>
      <c r="D325" t="s">
        <v>127</v>
      </c>
      <c r="E325" s="3"/>
      <c r="F325" s="3"/>
      <c r="G325" s="3"/>
      <c r="H325" s="3">
        <v>0.49986199999999997</v>
      </c>
      <c r="O325" t="s">
        <v>128</v>
      </c>
      <c r="P325" s="3"/>
      <c r="Q325" s="3"/>
      <c r="R325" s="3"/>
      <c r="S325" s="3">
        <v>0</v>
      </c>
    </row>
    <row r="326" spans="2:19" x14ac:dyDescent="0.25">
      <c r="D326" t="s">
        <v>128</v>
      </c>
      <c r="E326" s="3"/>
      <c r="F326" s="3"/>
      <c r="G326" s="3"/>
      <c r="H326" s="3">
        <v>21.855764841599999</v>
      </c>
      <c r="L326" t="s">
        <v>160</v>
      </c>
      <c r="M326" t="s">
        <v>195</v>
      </c>
      <c r="N326">
        <v>3</v>
      </c>
      <c r="O326" t="s">
        <v>127</v>
      </c>
      <c r="P326" s="3"/>
      <c r="Q326" s="3"/>
      <c r="R326" s="3"/>
      <c r="S326" s="3">
        <v>1.4369E-2</v>
      </c>
    </row>
    <row r="327" spans="2:19" x14ac:dyDescent="0.25">
      <c r="C327">
        <v>4</v>
      </c>
      <c r="D327" t="s">
        <v>127</v>
      </c>
      <c r="E327" s="3"/>
      <c r="F327" s="3"/>
      <c r="G327" s="3"/>
      <c r="H327" s="3">
        <v>0.59371600000000002</v>
      </c>
      <c r="N327">
        <v>4</v>
      </c>
      <c r="O327" t="s">
        <v>127</v>
      </c>
      <c r="P327" s="3"/>
      <c r="Q327" s="3"/>
      <c r="R327" s="3"/>
      <c r="S327" s="3">
        <v>1.7999000000000001E-2</v>
      </c>
    </row>
    <row r="328" spans="2:19" x14ac:dyDescent="0.25">
      <c r="D328" t="s">
        <v>128</v>
      </c>
      <c r="E328" s="3"/>
      <c r="F328" s="3"/>
      <c r="G328" s="3"/>
      <c r="H328" s="3">
        <v>22.149352330199999</v>
      </c>
      <c r="N328">
        <v>5</v>
      </c>
      <c r="O328" t="s">
        <v>127</v>
      </c>
      <c r="P328" s="3"/>
      <c r="Q328" s="3"/>
      <c r="R328" s="3"/>
      <c r="S328" s="3">
        <v>1.7999000000000001E-2</v>
      </c>
    </row>
    <row r="329" spans="2:19" x14ac:dyDescent="0.25">
      <c r="C329">
        <v>5</v>
      </c>
      <c r="D329" t="s">
        <v>127</v>
      </c>
      <c r="E329" s="3"/>
      <c r="F329" s="3"/>
      <c r="G329" s="3"/>
      <c r="H329" s="3">
        <v>2.2568451600000001</v>
      </c>
      <c r="N329">
        <v>12</v>
      </c>
      <c r="O329" t="s">
        <v>127</v>
      </c>
      <c r="P329" s="3">
        <v>6.5140469999999997</v>
      </c>
      <c r="Q329" s="3">
        <v>5.6357679999999997</v>
      </c>
      <c r="R329" s="3">
        <v>0.77391399999999999</v>
      </c>
      <c r="S329" s="3"/>
    </row>
    <row r="330" spans="2:19" x14ac:dyDescent="0.25">
      <c r="D330" t="s">
        <v>128</v>
      </c>
      <c r="E330" s="3"/>
      <c r="F330" s="3"/>
      <c r="G330" s="3"/>
      <c r="H330" s="3">
        <v>22.238749818799999</v>
      </c>
      <c r="K330" t="s">
        <v>98</v>
      </c>
      <c r="L330" t="s">
        <v>133</v>
      </c>
      <c r="M330" t="s">
        <v>168</v>
      </c>
      <c r="N330">
        <v>1</v>
      </c>
      <c r="O330" t="s">
        <v>128</v>
      </c>
      <c r="P330" s="3"/>
      <c r="Q330" s="3"/>
      <c r="R330" s="3"/>
      <c r="S330" s="3">
        <v>0.59955000000000003</v>
      </c>
    </row>
    <row r="331" spans="2:19" x14ac:dyDescent="0.25">
      <c r="C331">
        <v>6</v>
      </c>
      <c r="D331" t="s">
        <v>128</v>
      </c>
      <c r="E331" s="3"/>
      <c r="F331" s="3"/>
      <c r="G331" s="3"/>
      <c r="H331" s="3">
        <v>22.328147307399998</v>
      </c>
      <c r="N331">
        <v>2</v>
      </c>
      <c r="O331" t="s">
        <v>128</v>
      </c>
      <c r="P331" s="3"/>
      <c r="Q331" s="3"/>
      <c r="R331" s="3"/>
      <c r="S331" s="3">
        <v>5.25</v>
      </c>
    </row>
    <row r="332" spans="2:19" x14ac:dyDescent="0.25">
      <c r="C332">
        <v>12</v>
      </c>
      <c r="D332" t="s">
        <v>127</v>
      </c>
      <c r="E332" s="3">
        <v>65.202959980000003</v>
      </c>
      <c r="F332" s="3">
        <v>13.751472000000001</v>
      </c>
      <c r="G332" s="3">
        <v>9.1058840000000014</v>
      </c>
      <c r="H332" s="3"/>
      <c r="N332">
        <v>3</v>
      </c>
      <c r="O332" t="s">
        <v>128</v>
      </c>
      <c r="P332" s="3"/>
      <c r="Q332" s="3"/>
      <c r="R332" s="3"/>
      <c r="S332" s="3">
        <v>5.25</v>
      </c>
    </row>
    <row r="333" spans="2:19" x14ac:dyDescent="0.25">
      <c r="D333" t="s">
        <v>128</v>
      </c>
      <c r="E333" s="3"/>
      <c r="F333" s="3"/>
      <c r="G333" s="3"/>
      <c r="H333" s="3">
        <v>23.547757999999998</v>
      </c>
      <c r="N333">
        <v>4</v>
      </c>
      <c r="O333" t="s">
        <v>128</v>
      </c>
      <c r="P333" s="3"/>
      <c r="Q333" s="3"/>
      <c r="R333" s="3"/>
      <c r="S333" s="3">
        <v>5.25</v>
      </c>
    </row>
    <row r="334" spans="2:19" x14ac:dyDescent="0.25">
      <c r="B334" t="s">
        <v>109</v>
      </c>
      <c r="C334">
        <v>1</v>
      </c>
      <c r="D334" t="s">
        <v>128</v>
      </c>
      <c r="E334" s="3"/>
      <c r="F334" s="3"/>
      <c r="G334" s="3"/>
      <c r="H334" s="3">
        <v>19.239320363899999</v>
      </c>
      <c r="N334">
        <v>5</v>
      </c>
      <c r="O334" t="s">
        <v>128</v>
      </c>
      <c r="P334" s="3"/>
      <c r="Q334" s="3"/>
      <c r="R334" s="3"/>
      <c r="S334" s="3">
        <v>5.25</v>
      </c>
    </row>
    <row r="335" spans="2:19" x14ac:dyDescent="0.25">
      <c r="C335">
        <v>2</v>
      </c>
      <c r="D335" t="s">
        <v>128</v>
      </c>
      <c r="E335" s="3"/>
      <c r="F335" s="3"/>
      <c r="G335" s="3"/>
      <c r="H335" s="3">
        <v>38.4519208906</v>
      </c>
      <c r="N335">
        <v>6</v>
      </c>
      <c r="O335" t="s">
        <v>128</v>
      </c>
      <c r="P335" s="3"/>
      <c r="Q335" s="3"/>
      <c r="R335" s="3"/>
      <c r="S335" s="3">
        <v>5.25</v>
      </c>
    </row>
    <row r="336" spans="2:19" x14ac:dyDescent="0.25">
      <c r="C336">
        <v>3</v>
      </c>
      <c r="D336" t="s">
        <v>127</v>
      </c>
      <c r="E336" s="3"/>
      <c r="F336" s="3"/>
      <c r="G336" s="3"/>
      <c r="H336" s="3">
        <v>1.4369E-2</v>
      </c>
      <c r="N336">
        <v>12</v>
      </c>
      <c r="O336" t="s">
        <v>128</v>
      </c>
      <c r="P336" s="3"/>
      <c r="Q336" s="3"/>
      <c r="R336" s="3"/>
      <c r="S336" s="3">
        <v>10.5</v>
      </c>
    </row>
    <row r="337" spans="2:19" x14ac:dyDescent="0.25">
      <c r="D337" t="s">
        <v>128</v>
      </c>
      <c r="E337" s="3"/>
      <c r="F337" s="3"/>
      <c r="G337" s="3"/>
      <c r="H337" s="3">
        <v>57.510564260100011</v>
      </c>
      <c r="L337" t="s">
        <v>360</v>
      </c>
      <c r="M337" t="s">
        <v>362</v>
      </c>
      <c r="N337">
        <v>1</v>
      </c>
      <c r="O337" t="s">
        <v>128</v>
      </c>
      <c r="P337" s="3"/>
      <c r="Q337" s="3"/>
      <c r="R337" s="3"/>
      <c r="S337" s="3">
        <v>14.3824456363</v>
      </c>
    </row>
    <row r="338" spans="2:19" x14ac:dyDescent="0.25">
      <c r="C338">
        <v>4</v>
      </c>
      <c r="D338" t="s">
        <v>127</v>
      </c>
      <c r="E338" s="3"/>
      <c r="F338" s="3"/>
      <c r="G338" s="3"/>
      <c r="H338" s="3">
        <v>1.7999000000000001E-2</v>
      </c>
      <c r="N338">
        <v>2</v>
      </c>
      <c r="O338" t="s">
        <v>128</v>
      </c>
      <c r="P338" s="3"/>
      <c r="Q338" s="3"/>
      <c r="R338" s="3"/>
      <c r="S338" s="3">
        <v>28.7648912726</v>
      </c>
    </row>
    <row r="339" spans="2:19" x14ac:dyDescent="0.25">
      <c r="D339" t="s">
        <v>128</v>
      </c>
      <c r="E339" s="3"/>
      <c r="F339" s="3"/>
      <c r="G339" s="3"/>
      <c r="H339" s="3">
        <v>76.677677444899999</v>
      </c>
      <c r="N339">
        <v>3</v>
      </c>
      <c r="O339" t="s">
        <v>128</v>
      </c>
      <c r="P339" s="3"/>
      <c r="Q339" s="3"/>
      <c r="R339" s="3"/>
      <c r="S339" s="3">
        <v>43.147336908900002</v>
      </c>
    </row>
    <row r="340" spans="2:19" x14ac:dyDescent="0.25">
      <c r="C340">
        <v>5</v>
      </c>
      <c r="D340" t="s">
        <v>127</v>
      </c>
      <c r="E340" s="3"/>
      <c r="F340" s="3"/>
      <c r="G340" s="3"/>
      <c r="H340" s="3">
        <v>1.7999000000000001E-2</v>
      </c>
      <c r="N340">
        <v>4</v>
      </c>
      <c r="O340" t="s">
        <v>128</v>
      </c>
      <c r="P340" s="3"/>
      <c r="Q340" s="3"/>
      <c r="R340" s="3"/>
      <c r="S340" s="3">
        <v>57.5297825452</v>
      </c>
    </row>
    <row r="341" spans="2:19" x14ac:dyDescent="0.25">
      <c r="D341" t="s">
        <v>128</v>
      </c>
      <c r="E341" s="3"/>
      <c r="F341" s="3"/>
      <c r="G341" s="3"/>
      <c r="H341" s="3">
        <v>95.889959878300004</v>
      </c>
      <c r="N341">
        <v>5</v>
      </c>
      <c r="O341" t="s">
        <v>128</v>
      </c>
      <c r="P341" s="3"/>
      <c r="Q341" s="3"/>
      <c r="R341" s="3"/>
      <c r="S341" s="3">
        <v>71.912228181499998</v>
      </c>
    </row>
    <row r="342" spans="2:19" x14ac:dyDescent="0.25">
      <c r="C342">
        <v>6</v>
      </c>
      <c r="D342" t="s">
        <v>128</v>
      </c>
      <c r="E342" s="3"/>
      <c r="F342" s="3"/>
      <c r="G342" s="3"/>
      <c r="H342" s="3">
        <v>115.21826475060001</v>
      </c>
      <c r="N342">
        <v>6</v>
      </c>
      <c r="O342" t="s">
        <v>128</v>
      </c>
      <c r="P342" s="3"/>
      <c r="Q342" s="3"/>
      <c r="R342" s="3"/>
      <c r="S342" s="3">
        <v>86.294673817800003</v>
      </c>
    </row>
    <row r="343" spans="2:19" x14ac:dyDescent="0.25">
      <c r="C343">
        <v>12</v>
      </c>
      <c r="D343" t="s">
        <v>127</v>
      </c>
      <c r="E343" s="3">
        <v>106.64528199999999</v>
      </c>
      <c r="F343" s="3">
        <v>42.787470999999996</v>
      </c>
      <c r="G343" s="3">
        <v>5.6775139999999995</v>
      </c>
      <c r="H343" s="3"/>
      <c r="N343">
        <v>12</v>
      </c>
      <c r="O343" t="s">
        <v>128</v>
      </c>
      <c r="P343" s="3"/>
      <c r="Q343" s="3"/>
      <c r="R343" s="3"/>
      <c r="S343" s="3">
        <v>172.658411</v>
      </c>
    </row>
    <row r="344" spans="2:19" x14ac:dyDescent="0.25">
      <c r="D344" t="s">
        <v>128</v>
      </c>
      <c r="E344" s="3"/>
      <c r="F344" s="3"/>
      <c r="G344" s="3"/>
      <c r="H344" s="3">
        <v>231.00718000000001</v>
      </c>
      <c r="L344" t="s">
        <v>160</v>
      </c>
      <c r="M344" t="s">
        <v>195</v>
      </c>
      <c r="N344">
        <v>1</v>
      </c>
      <c r="O344" t="s">
        <v>127</v>
      </c>
      <c r="P344" s="3"/>
      <c r="Q344" s="3"/>
      <c r="R344" s="3"/>
      <c r="S344" s="3">
        <v>0.16750000000000001</v>
      </c>
    </row>
    <row r="345" spans="2:19" x14ac:dyDescent="0.25">
      <c r="B345" t="s">
        <v>111</v>
      </c>
      <c r="C345">
        <v>1</v>
      </c>
      <c r="D345" t="s">
        <v>128</v>
      </c>
      <c r="E345" s="3"/>
      <c r="F345" s="3"/>
      <c r="G345" s="3"/>
      <c r="H345" s="3">
        <v>0</v>
      </c>
      <c r="O345" t="s">
        <v>128</v>
      </c>
      <c r="P345" s="3"/>
      <c r="Q345" s="3"/>
      <c r="R345" s="3"/>
      <c r="S345" s="3">
        <v>0.2001</v>
      </c>
    </row>
    <row r="346" spans="2:19" x14ac:dyDescent="0.25">
      <c r="C346">
        <v>2</v>
      </c>
      <c r="D346" t="s">
        <v>128</v>
      </c>
      <c r="E346" s="3"/>
      <c r="F346" s="3"/>
      <c r="G346" s="3"/>
      <c r="H346" s="3">
        <v>0</v>
      </c>
      <c r="N346">
        <v>2</v>
      </c>
      <c r="O346" t="s">
        <v>127</v>
      </c>
      <c r="P346" s="3"/>
      <c r="Q346" s="3"/>
      <c r="R346" s="3"/>
      <c r="S346" s="3">
        <v>0.3715</v>
      </c>
    </row>
    <row r="347" spans="2:19" x14ac:dyDescent="0.25">
      <c r="C347">
        <v>3</v>
      </c>
      <c r="D347" t="s">
        <v>128</v>
      </c>
      <c r="E347" s="3"/>
      <c r="F347" s="3"/>
      <c r="G347" s="3"/>
      <c r="H347" s="3">
        <v>0</v>
      </c>
      <c r="O347" t="s">
        <v>128</v>
      </c>
      <c r="P347" s="3"/>
      <c r="Q347" s="3"/>
      <c r="R347" s="3"/>
      <c r="S347" s="3">
        <v>0.45</v>
      </c>
    </row>
    <row r="348" spans="2:19" x14ac:dyDescent="0.25">
      <c r="C348">
        <v>4</v>
      </c>
      <c r="D348" t="s">
        <v>128</v>
      </c>
      <c r="E348" s="3"/>
      <c r="F348" s="3"/>
      <c r="G348" s="3"/>
      <c r="H348" s="3">
        <v>0</v>
      </c>
      <c r="N348">
        <v>3</v>
      </c>
      <c r="O348" t="s">
        <v>127</v>
      </c>
      <c r="P348" s="3"/>
      <c r="Q348" s="3"/>
      <c r="R348" s="3"/>
      <c r="S348" s="3">
        <v>0.579125</v>
      </c>
    </row>
    <row r="349" spans="2:19" x14ac:dyDescent="0.25">
      <c r="C349">
        <v>5</v>
      </c>
      <c r="D349" t="s">
        <v>128</v>
      </c>
      <c r="E349" s="3"/>
      <c r="F349" s="3"/>
      <c r="G349" s="3"/>
      <c r="H349" s="3">
        <v>0</v>
      </c>
      <c r="O349" t="s">
        <v>128</v>
      </c>
      <c r="P349" s="3"/>
      <c r="Q349" s="3"/>
      <c r="R349" s="3"/>
      <c r="S349" s="3">
        <v>0.69989999999999997</v>
      </c>
    </row>
    <row r="350" spans="2:19" x14ac:dyDescent="0.25">
      <c r="C350">
        <v>6</v>
      </c>
      <c r="D350" t="s">
        <v>128</v>
      </c>
      <c r="E350" s="3"/>
      <c r="F350" s="3"/>
      <c r="G350" s="3"/>
      <c r="H350" s="3">
        <v>104.00071999999999</v>
      </c>
      <c r="N350">
        <v>4</v>
      </c>
      <c r="O350" t="s">
        <v>127</v>
      </c>
      <c r="P350" s="3"/>
      <c r="Q350" s="3"/>
      <c r="R350" s="3"/>
      <c r="S350" s="3">
        <v>0.85599999999999998</v>
      </c>
    </row>
    <row r="351" spans="2:19" x14ac:dyDescent="0.25">
      <c r="C351">
        <v>12</v>
      </c>
      <c r="D351" t="s">
        <v>127</v>
      </c>
      <c r="E351" s="3">
        <v>48.5825599</v>
      </c>
      <c r="F351" s="3">
        <v>20.980423630000001</v>
      </c>
      <c r="G351" s="3">
        <v>7.5880000000000001</v>
      </c>
      <c r="H351" s="3"/>
      <c r="O351" t="s">
        <v>128</v>
      </c>
      <c r="P351" s="3"/>
      <c r="Q351" s="3"/>
      <c r="R351" s="3"/>
      <c r="S351" s="3">
        <v>1.7250000000000001</v>
      </c>
    </row>
    <row r="352" spans="2:19" x14ac:dyDescent="0.25">
      <c r="D352" t="s">
        <v>128</v>
      </c>
      <c r="E352" s="3"/>
      <c r="F352" s="3"/>
      <c r="G352" s="3"/>
      <c r="H352" s="3">
        <v>105.2</v>
      </c>
      <c r="N352">
        <v>5</v>
      </c>
      <c r="O352" t="s">
        <v>127</v>
      </c>
      <c r="P352" s="3"/>
      <c r="Q352" s="3"/>
      <c r="R352" s="3"/>
      <c r="S352" s="3">
        <v>1.9863249999999999</v>
      </c>
    </row>
    <row r="353" spans="2:19" x14ac:dyDescent="0.25">
      <c r="B353" t="s">
        <v>205</v>
      </c>
      <c r="C353">
        <v>2</v>
      </c>
      <c r="D353" t="s">
        <v>127</v>
      </c>
      <c r="E353" s="3"/>
      <c r="F353" s="3"/>
      <c r="G353" s="3"/>
      <c r="H353" s="3">
        <v>0</v>
      </c>
      <c r="O353" t="s">
        <v>128</v>
      </c>
      <c r="P353" s="3"/>
      <c r="Q353" s="3"/>
      <c r="R353" s="3"/>
      <c r="S353" s="3">
        <v>2.0000999999999998</v>
      </c>
    </row>
    <row r="354" spans="2:19" x14ac:dyDescent="0.25">
      <c r="C354">
        <v>3</v>
      </c>
      <c r="D354" t="s">
        <v>127</v>
      </c>
      <c r="E354" s="3"/>
      <c r="F354" s="3"/>
      <c r="G354" s="3"/>
      <c r="H354" s="3">
        <v>6.1899999999999998E-4</v>
      </c>
      <c r="N354">
        <v>6</v>
      </c>
      <c r="O354" t="s">
        <v>128</v>
      </c>
      <c r="P354" s="3"/>
      <c r="Q354" s="3"/>
      <c r="R354" s="3"/>
      <c r="S354" s="3">
        <v>4.4750724999999996</v>
      </c>
    </row>
    <row r="355" spans="2:19" x14ac:dyDescent="0.25">
      <c r="C355">
        <v>4</v>
      </c>
      <c r="D355" t="s">
        <v>127</v>
      </c>
      <c r="E355" s="3"/>
      <c r="F355" s="3"/>
      <c r="G355" s="3"/>
      <c r="H355" s="3">
        <v>1.4609999999999998E-3</v>
      </c>
      <c r="N355">
        <v>12</v>
      </c>
      <c r="O355" t="s">
        <v>127</v>
      </c>
      <c r="P355" s="3">
        <v>0</v>
      </c>
      <c r="Q355" s="3">
        <v>0.39550000000000002</v>
      </c>
      <c r="R355" s="3"/>
      <c r="S355" s="3"/>
    </row>
    <row r="356" spans="2:19" x14ac:dyDescent="0.25">
      <c r="C356">
        <v>5</v>
      </c>
      <c r="D356" t="s">
        <v>127</v>
      </c>
      <c r="E356" s="3"/>
      <c r="F356" s="3"/>
      <c r="G356" s="3"/>
      <c r="H356" s="3">
        <v>1.4609999999999998E-3</v>
      </c>
      <c r="O356" t="s">
        <v>128</v>
      </c>
      <c r="P356" s="3"/>
      <c r="Q356" s="3"/>
      <c r="R356" s="3"/>
      <c r="S356" s="3">
        <v>10.675000000000001</v>
      </c>
    </row>
    <row r="357" spans="2:19" x14ac:dyDescent="0.25">
      <c r="C357">
        <v>12</v>
      </c>
      <c r="D357" t="s">
        <v>127</v>
      </c>
      <c r="E357" s="3">
        <v>1.1227819999999999</v>
      </c>
      <c r="F357" s="3">
        <v>0.92666800000000005</v>
      </c>
      <c r="G357" s="3">
        <v>0.17954200000000001</v>
      </c>
      <c r="H357" s="3"/>
      <c r="L357" t="s">
        <v>163</v>
      </c>
      <c r="M357" t="s">
        <v>198</v>
      </c>
      <c r="N357">
        <v>1</v>
      </c>
      <c r="O357" t="s">
        <v>128</v>
      </c>
      <c r="P357" s="3"/>
      <c r="Q357" s="3"/>
      <c r="R357" s="3"/>
      <c r="S357" s="3">
        <v>13.836918434499999</v>
      </c>
    </row>
    <row r="358" spans="2:19" x14ac:dyDescent="0.25">
      <c r="B358" t="s">
        <v>112</v>
      </c>
      <c r="C358">
        <v>3</v>
      </c>
      <c r="D358" t="s">
        <v>127</v>
      </c>
      <c r="E358" s="3"/>
      <c r="F358" s="3"/>
      <c r="G358" s="3"/>
      <c r="H358" s="3">
        <v>0.23787979999999997</v>
      </c>
      <c r="N358">
        <v>2</v>
      </c>
      <c r="O358" t="s">
        <v>127</v>
      </c>
      <c r="P358" s="3"/>
      <c r="Q358" s="3"/>
      <c r="R358" s="3"/>
      <c r="S358" s="3">
        <v>27.298272999999998</v>
      </c>
    </row>
    <row r="359" spans="2:19" x14ac:dyDescent="0.25">
      <c r="C359">
        <v>4</v>
      </c>
      <c r="D359" t="s">
        <v>127</v>
      </c>
      <c r="E359" s="3"/>
      <c r="F359" s="3"/>
      <c r="G359" s="3"/>
      <c r="H359" s="3">
        <v>0.23787979999999997</v>
      </c>
      <c r="O359" t="s">
        <v>128</v>
      </c>
      <c r="P359" s="3"/>
      <c r="Q359" s="3"/>
      <c r="R359" s="3"/>
      <c r="S359" s="3">
        <v>27.690447815499997</v>
      </c>
    </row>
    <row r="360" spans="2:19" x14ac:dyDescent="0.25">
      <c r="C360">
        <v>5</v>
      </c>
      <c r="D360" t="s">
        <v>127</v>
      </c>
      <c r="E360" s="3"/>
      <c r="F360" s="3"/>
      <c r="G360" s="3"/>
      <c r="H360" s="3">
        <v>0.23787979999999997</v>
      </c>
      <c r="N360">
        <v>3</v>
      </c>
      <c r="O360" t="s">
        <v>127</v>
      </c>
      <c r="P360" s="3"/>
      <c r="Q360" s="3"/>
      <c r="R360" s="3"/>
      <c r="S360" s="3">
        <v>41.671469000000002</v>
      </c>
    </row>
    <row r="361" spans="2:19" x14ac:dyDescent="0.25">
      <c r="C361">
        <v>12</v>
      </c>
      <c r="D361" t="s">
        <v>127</v>
      </c>
      <c r="E361" s="3">
        <v>5.0084040000000003E-2</v>
      </c>
      <c r="F361" s="3"/>
      <c r="G361" s="3">
        <v>4.3294800000000001E-2</v>
      </c>
      <c r="H361" s="3"/>
      <c r="O361" t="s">
        <v>128</v>
      </c>
      <c r="P361" s="3"/>
      <c r="Q361" s="3"/>
      <c r="R361" s="3"/>
      <c r="S361" s="3">
        <v>41.52736625</v>
      </c>
    </row>
    <row r="362" spans="2:19" x14ac:dyDescent="0.25">
      <c r="B362" t="s">
        <v>113</v>
      </c>
      <c r="C362">
        <v>1</v>
      </c>
      <c r="D362" t="s">
        <v>128</v>
      </c>
      <c r="E362" s="3"/>
      <c r="F362" s="3"/>
      <c r="G362" s="3"/>
      <c r="H362" s="3">
        <v>73.66879179440383</v>
      </c>
      <c r="N362">
        <v>4</v>
      </c>
      <c r="O362" t="s">
        <v>127</v>
      </c>
      <c r="P362" s="3"/>
      <c r="Q362" s="3"/>
      <c r="R362" s="3"/>
      <c r="S362" s="3">
        <v>51.010083000000002</v>
      </c>
    </row>
    <row r="363" spans="2:19" x14ac:dyDescent="0.25">
      <c r="C363">
        <v>2</v>
      </c>
      <c r="D363" t="s">
        <v>127</v>
      </c>
      <c r="E363" s="3"/>
      <c r="F363" s="3"/>
      <c r="G363" s="3"/>
      <c r="H363" s="3">
        <v>103.493831</v>
      </c>
      <c r="O363" t="s">
        <v>128</v>
      </c>
      <c r="P363" s="3"/>
      <c r="Q363" s="3"/>
      <c r="R363" s="3"/>
      <c r="S363" s="3">
        <v>57.694893210342983</v>
      </c>
    </row>
    <row r="364" spans="2:19" x14ac:dyDescent="0.25">
      <c r="D364" t="s">
        <v>128</v>
      </c>
      <c r="E364" s="3"/>
      <c r="F364" s="3"/>
      <c r="G364" s="3"/>
      <c r="H364" s="3">
        <v>147.32696987322879</v>
      </c>
      <c r="N364">
        <v>5</v>
      </c>
      <c r="O364" t="s">
        <v>127</v>
      </c>
      <c r="P364" s="3"/>
      <c r="Q364" s="3"/>
      <c r="R364" s="3"/>
      <c r="S364" s="3">
        <v>65.169955999999999</v>
      </c>
    </row>
    <row r="365" spans="2:19" x14ac:dyDescent="0.25">
      <c r="C365">
        <v>3</v>
      </c>
      <c r="D365" t="s">
        <v>127</v>
      </c>
      <c r="E365" s="3"/>
      <c r="F365" s="3"/>
      <c r="G365" s="3"/>
      <c r="H365" s="3">
        <v>162.32042799999999</v>
      </c>
      <c r="O365" t="s">
        <v>128</v>
      </c>
      <c r="P365" s="3"/>
      <c r="Q365" s="3"/>
      <c r="R365" s="3"/>
      <c r="S365" s="3">
        <v>72.131599162165998</v>
      </c>
    </row>
    <row r="366" spans="2:19" x14ac:dyDescent="0.25">
      <c r="D366" t="s">
        <v>128</v>
      </c>
      <c r="E366" s="3"/>
      <c r="F366" s="3"/>
      <c r="G366" s="3"/>
      <c r="H366" s="3">
        <v>220.98510054237147</v>
      </c>
      <c r="N366">
        <v>6</v>
      </c>
      <c r="O366" t="s">
        <v>128</v>
      </c>
      <c r="P366" s="3"/>
      <c r="Q366" s="3"/>
      <c r="R366" s="3"/>
      <c r="S366" s="3">
        <v>83.0547325</v>
      </c>
    </row>
    <row r="367" spans="2:19" x14ac:dyDescent="0.25">
      <c r="C367">
        <v>4</v>
      </c>
      <c r="D367" t="s">
        <v>127</v>
      </c>
      <c r="E367" s="3"/>
      <c r="F367" s="3"/>
      <c r="G367" s="3"/>
      <c r="H367" s="3">
        <v>213.37133899999998</v>
      </c>
      <c r="N367">
        <v>12</v>
      </c>
      <c r="O367" t="s">
        <v>128</v>
      </c>
      <c r="P367" s="3"/>
      <c r="Q367" s="3"/>
      <c r="R367" s="3"/>
      <c r="S367" s="3">
        <v>173.10198983001197</v>
      </c>
    </row>
    <row r="368" spans="2:19" x14ac:dyDescent="0.25">
      <c r="D368" t="s">
        <v>128</v>
      </c>
      <c r="E368" s="3"/>
      <c r="F368" s="3"/>
      <c r="G368" s="3"/>
      <c r="H368" s="3">
        <v>317.94180885945775</v>
      </c>
    </row>
    <row r="369" spans="2:8" x14ac:dyDescent="0.25">
      <c r="C369">
        <v>5</v>
      </c>
      <c r="D369" t="s">
        <v>127</v>
      </c>
      <c r="E369" s="3"/>
      <c r="F369" s="3"/>
      <c r="G369" s="3"/>
      <c r="H369" s="3">
        <v>266.294353</v>
      </c>
    </row>
    <row r="370" spans="2:8" x14ac:dyDescent="0.25">
      <c r="D370" t="s">
        <v>128</v>
      </c>
      <c r="E370" s="3"/>
      <c r="F370" s="3"/>
      <c r="G370" s="3"/>
      <c r="H370" s="3">
        <v>397.42432019727949</v>
      </c>
    </row>
    <row r="371" spans="2:8" x14ac:dyDescent="0.25">
      <c r="C371">
        <v>6</v>
      </c>
      <c r="D371" t="s">
        <v>128</v>
      </c>
      <c r="E371" s="3"/>
      <c r="F371" s="3"/>
      <c r="G371" s="3"/>
      <c r="H371" s="3">
        <v>442.01135220013384</v>
      </c>
    </row>
    <row r="372" spans="2:8" x14ac:dyDescent="0.25">
      <c r="C372">
        <v>12</v>
      </c>
      <c r="D372" t="s">
        <v>127</v>
      </c>
      <c r="E372" s="3">
        <v>868.213483</v>
      </c>
      <c r="F372" s="3">
        <v>682.16968911000004</v>
      </c>
      <c r="G372" s="3">
        <v>757.52154399999995</v>
      </c>
      <c r="H372" s="3"/>
    </row>
    <row r="373" spans="2:8" x14ac:dyDescent="0.25">
      <c r="D373" t="s">
        <v>128</v>
      </c>
      <c r="E373" s="3"/>
      <c r="F373" s="3"/>
      <c r="G373" s="3"/>
      <c r="H373" s="3">
        <v>954.28972499999998</v>
      </c>
    </row>
    <row r="374" spans="2:8" x14ac:dyDescent="0.25">
      <c r="B374" t="s">
        <v>114</v>
      </c>
      <c r="C374">
        <v>12</v>
      </c>
      <c r="D374" t="s">
        <v>127</v>
      </c>
      <c r="E374" s="3">
        <v>73.968550000000008</v>
      </c>
      <c r="F374" s="3">
        <v>81.345001999999994</v>
      </c>
      <c r="G374" s="3"/>
      <c r="H374" s="3"/>
    </row>
    <row r="375" spans="2:8" x14ac:dyDescent="0.25">
      <c r="B375" t="s">
        <v>115</v>
      </c>
      <c r="C375">
        <v>12</v>
      </c>
      <c r="D375" t="s">
        <v>127</v>
      </c>
      <c r="E375" s="3">
        <v>0.78893108000000001</v>
      </c>
      <c r="F375" s="3">
        <v>0.4</v>
      </c>
      <c r="G375" s="3"/>
      <c r="H375" s="3"/>
    </row>
    <row r="376" spans="2:8" x14ac:dyDescent="0.25">
      <c r="B376" t="s">
        <v>116</v>
      </c>
      <c r="C376">
        <v>12</v>
      </c>
      <c r="D376" t="s">
        <v>127</v>
      </c>
      <c r="E376" s="3">
        <v>50.816906280000005</v>
      </c>
      <c r="F376" s="3">
        <v>5.8998686600000001</v>
      </c>
      <c r="G376" s="3">
        <v>25.02233</v>
      </c>
      <c r="H376" s="3"/>
    </row>
    <row r="377" spans="2:8" x14ac:dyDescent="0.25">
      <c r="B377" t="s">
        <v>120</v>
      </c>
      <c r="C377">
        <v>1</v>
      </c>
      <c r="D377" t="s">
        <v>127</v>
      </c>
      <c r="E377" s="3"/>
      <c r="F377" s="3"/>
      <c r="G377" s="3"/>
      <c r="H377" s="3">
        <v>0.14916699999999999</v>
      </c>
    </row>
    <row r="378" spans="2:8" x14ac:dyDescent="0.25">
      <c r="D378" t="s">
        <v>128</v>
      </c>
      <c r="E378" s="3"/>
      <c r="F378" s="3"/>
      <c r="G378" s="3"/>
      <c r="H378" s="3">
        <v>6.6766032899999966E-2</v>
      </c>
    </row>
    <row r="379" spans="2:8" x14ac:dyDescent="0.25">
      <c r="C379">
        <v>2</v>
      </c>
      <c r="D379" t="s">
        <v>127</v>
      </c>
      <c r="E379" s="3"/>
      <c r="F379" s="3"/>
      <c r="G379" s="3"/>
      <c r="H379" s="3">
        <v>0.29833399999999999</v>
      </c>
    </row>
    <row r="380" spans="2:8" x14ac:dyDescent="0.25">
      <c r="D380" t="s">
        <v>128</v>
      </c>
      <c r="E380" s="3"/>
      <c r="F380" s="3"/>
      <c r="G380" s="3"/>
      <c r="H380" s="3">
        <v>0.22752131579999996</v>
      </c>
    </row>
    <row r="381" spans="2:8" x14ac:dyDescent="0.25">
      <c r="C381">
        <v>3</v>
      </c>
      <c r="D381" t="s">
        <v>127</v>
      </c>
      <c r="E381" s="3"/>
      <c r="F381" s="3"/>
      <c r="G381" s="3"/>
      <c r="H381" s="3">
        <v>0.29833399999999999</v>
      </c>
    </row>
    <row r="382" spans="2:8" x14ac:dyDescent="0.25">
      <c r="D382" t="s">
        <v>128</v>
      </c>
      <c r="E382" s="3"/>
      <c r="F382" s="3"/>
      <c r="G382" s="3"/>
      <c r="H382" s="3">
        <v>0.29428734869999995</v>
      </c>
    </row>
    <row r="383" spans="2:8" x14ac:dyDescent="0.25">
      <c r="C383">
        <v>4</v>
      </c>
      <c r="D383" t="s">
        <v>127</v>
      </c>
      <c r="E383" s="3"/>
      <c r="F383" s="3"/>
      <c r="G383" s="3"/>
      <c r="H383" s="3">
        <v>0.29833399999999999</v>
      </c>
    </row>
    <row r="384" spans="2:8" x14ac:dyDescent="0.25">
      <c r="D384" t="s">
        <v>128</v>
      </c>
      <c r="E384" s="3"/>
      <c r="F384" s="3"/>
      <c r="G384" s="3"/>
      <c r="H384" s="3">
        <v>0.36105338159999989</v>
      </c>
    </row>
    <row r="385" spans="1:8" x14ac:dyDescent="0.25">
      <c r="C385">
        <v>5</v>
      </c>
      <c r="D385" t="s">
        <v>127</v>
      </c>
      <c r="E385" s="3"/>
      <c r="F385" s="3"/>
      <c r="G385" s="3"/>
      <c r="H385" s="3">
        <v>0.44750099999999998</v>
      </c>
    </row>
    <row r="386" spans="1:8" x14ac:dyDescent="0.25">
      <c r="D386" t="s">
        <v>128</v>
      </c>
      <c r="E386" s="3"/>
      <c r="F386" s="3"/>
      <c r="G386" s="3"/>
      <c r="H386" s="3">
        <v>0.52180866450000019</v>
      </c>
    </row>
    <row r="387" spans="1:8" x14ac:dyDescent="0.25">
      <c r="C387">
        <v>6</v>
      </c>
      <c r="D387" t="s">
        <v>128</v>
      </c>
      <c r="E387" s="3"/>
      <c r="F387" s="3"/>
      <c r="G387" s="3"/>
      <c r="H387" s="3">
        <v>0.5885746973999999</v>
      </c>
    </row>
    <row r="388" spans="1:8" x14ac:dyDescent="0.25">
      <c r="C388">
        <v>12</v>
      </c>
      <c r="D388" t="s">
        <v>127</v>
      </c>
      <c r="E388" s="3">
        <v>12.888763980000002</v>
      </c>
      <c r="F388" s="3">
        <v>18.859063970000001</v>
      </c>
      <c r="G388" s="3">
        <v>3.0744395099999999</v>
      </c>
      <c r="H388" s="3"/>
    </row>
    <row r="389" spans="1:8" x14ac:dyDescent="0.25">
      <c r="D389" t="s">
        <v>128</v>
      </c>
      <c r="E389" s="3"/>
      <c r="F389" s="3"/>
      <c r="G389" s="3"/>
      <c r="H389" s="3">
        <v>1.17747</v>
      </c>
    </row>
    <row r="390" spans="1:8" x14ac:dyDescent="0.25">
      <c r="B390" t="s">
        <v>121</v>
      </c>
      <c r="C390">
        <v>3</v>
      </c>
      <c r="D390" t="s">
        <v>127</v>
      </c>
      <c r="E390" s="3"/>
      <c r="F390" s="3"/>
      <c r="G390" s="3"/>
      <c r="H390" s="3">
        <v>4.9500000000000002E-2</v>
      </c>
    </row>
    <row r="391" spans="1:8" x14ac:dyDescent="0.25">
      <c r="C391">
        <v>4</v>
      </c>
      <c r="D391" t="s">
        <v>127</v>
      </c>
      <c r="E391" s="3"/>
      <c r="F391" s="3"/>
      <c r="G391" s="3"/>
      <c r="H391" s="3">
        <v>0.1221</v>
      </c>
    </row>
    <row r="392" spans="1:8" x14ac:dyDescent="0.25">
      <c r="C392">
        <v>5</v>
      </c>
      <c r="D392" t="s">
        <v>127</v>
      </c>
      <c r="E392" s="3"/>
      <c r="F392" s="3"/>
      <c r="G392" s="3"/>
      <c r="H392" s="3">
        <v>0.1221</v>
      </c>
    </row>
    <row r="393" spans="1:8" x14ac:dyDescent="0.25">
      <c r="C393">
        <v>12</v>
      </c>
      <c r="D393" t="s">
        <v>127</v>
      </c>
      <c r="E393" s="3">
        <v>1.6533</v>
      </c>
      <c r="F393" s="3">
        <v>21.957187000000001</v>
      </c>
      <c r="G393" s="3">
        <v>0.33550000000000002</v>
      </c>
      <c r="H393" s="3"/>
    </row>
    <row r="394" spans="1:8" x14ac:dyDescent="0.25">
      <c r="A394" t="s">
        <v>98</v>
      </c>
      <c r="B394" t="s">
        <v>100</v>
      </c>
      <c r="C394">
        <v>12</v>
      </c>
      <c r="D394" t="s">
        <v>127</v>
      </c>
      <c r="E394" s="3">
        <v>-68.41</v>
      </c>
      <c r="F394" s="3">
        <v>5.8100000000000005</v>
      </c>
      <c r="G394" s="3"/>
      <c r="H394" s="3"/>
    </row>
    <row r="395" spans="1:8" x14ac:dyDescent="0.25">
      <c r="B395" t="s">
        <v>105</v>
      </c>
      <c r="C395">
        <v>1</v>
      </c>
      <c r="D395" t="s">
        <v>128</v>
      </c>
      <c r="E395" s="3"/>
      <c r="F395" s="3"/>
      <c r="G395" s="3"/>
      <c r="H395" s="3">
        <v>0</v>
      </c>
    </row>
    <row r="396" spans="1:8" x14ac:dyDescent="0.25">
      <c r="C396">
        <v>2</v>
      </c>
      <c r="D396" t="s">
        <v>128</v>
      </c>
      <c r="E396" s="3"/>
      <c r="F396" s="3"/>
      <c r="G396" s="3"/>
      <c r="H396" s="3">
        <v>0</v>
      </c>
    </row>
    <row r="397" spans="1:8" x14ac:dyDescent="0.25">
      <c r="C397">
        <v>3</v>
      </c>
      <c r="D397" t="s">
        <v>128</v>
      </c>
      <c r="E397" s="3"/>
      <c r="F397" s="3"/>
      <c r="G397" s="3"/>
      <c r="H397" s="3">
        <v>0</v>
      </c>
    </row>
    <row r="398" spans="1:8" x14ac:dyDescent="0.25">
      <c r="C398">
        <v>4</v>
      </c>
      <c r="D398" t="s">
        <v>128</v>
      </c>
      <c r="E398" s="3"/>
      <c r="F398" s="3"/>
      <c r="G398" s="3"/>
      <c r="H398" s="3">
        <v>0</v>
      </c>
    </row>
    <row r="399" spans="1:8" x14ac:dyDescent="0.25">
      <c r="C399">
        <v>5</v>
      </c>
      <c r="D399" t="s">
        <v>128</v>
      </c>
      <c r="E399" s="3"/>
      <c r="F399" s="3"/>
      <c r="G399" s="3"/>
      <c r="H399" s="3">
        <v>0</v>
      </c>
    </row>
    <row r="400" spans="1:8" x14ac:dyDescent="0.25">
      <c r="C400">
        <v>6</v>
      </c>
      <c r="D400" t="s">
        <v>128</v>
      </c>
      <c r="E400" s="3"/>
      <c r="F400" s="3"/>
      <c r="G400" s="3"/>
      <c r="H400" s="3">
        <v>20</v>
      </c>
    </row>
    <row r="401" spans="2:8" x14ac:dyDescent="0.25">
      <c r="C401">
        <v>12</v>
      </c>
      <c r="D401" t="s">
        <v>128</v>
      </c>
      <c r="E401" s="3"/>
      <c r="F401" s="3"/>
      <c r="G401" s="3"/>
      <c r="H401" s="3">
        <v>50</v>
      </c>
    </row>
    <row r="402" spans="2:8" x14ac:dyDescent="0.25">
      <c r="B402" t="s">
        <v>106</v>
      </c>
      <c r="C402">
        <v>1</v>
      </c>
      <c r="D402" t="s">
        <v>127</v>
      </c>
      <c r="E402" s="3"/>
      <c r="F402" s="3"/>
      <c r="G402" s="3"/>
      <c r="H402" s="3">
        <v>10.414873</v>
      </c>
    </row>
    <row r="403" spans="2:8" x14ac:dyDescent="0.25">
      <c r="D403" t="s">
        <v>128</v>
      </c>
      <c r="E403" s="3"/>
      <c r="F403" s="3"/>
      <c r="G403" s="3"/>
      <c r="H403" s="3">
        <v>11.185778598119999</v>
      </c>
    </row>
    <row r="404" spans="2:8" x14ac:dyDescent="0.25">
      <c r="C404">
        <v>2</v>
      </c>
      <c r="D404" t="s">
        <v>127</v>
      </c>
      <c r="E404" s="3"/>
      <c r="F404" s="3"/>
      <c r="G404" s="3"/>
      <c r="H404" s="3">
        <v>21.565750999999999</v>
      </c>
    </row>
    <row r="405" spans="2:8" x14ac:dyDescent="0.25">
      <c r="D405" t="s">
        <v>128</v>
      </c>
      <c r="E405" s="3"/>
      <c r="F405" s="3"/>
      <c r="G405" s="3"/>
      <c r="H405" s="3">
        <v>22.371557196239998</v>
      </c>
    </row>
    <row r="406" spans="2:8" x14ac:dyDescent="0.25">
      <c r="C406">
        <v>3</v>
      </c>
      <c r="D406" t="s">
        <v>127</v>
      </c>
      <c r="E406" s="3"/>
      <c r="F406" s="3"/>
      <c r="G406" s="3"/>
      <c r="H406" s="3">
        <v>32.703546000000003</v>
      </c>
    </row>
    <row r="407" spans="2:8" x14ac:dyDescent="0.25">
      <c r="D407" t="s">
        <v>128</v>
      </c>
      <c r="E407" s="3"/>
      <c r="F407" s="3"/>
      <c r="G407" s="3"/>
      <c r="H407" s="3">
        <v>33.55733579436</v>
      </c>
    </row>
    <row r="408" spans="2:8" x14ac:dyDescent="0.25">
      <c r="C408">
        <v>4</v>
      </c>
      <c r="D408" t="s">
        <v>127</v>
      </c>
      <c r="E408" s="3"/>
      <c r="F408" s="3"/>
      <c r="G408" s="3"/>
      <c r="H408" s="3">
        <v>44.132469</v>
      </c>
    </row>
    <row r="409" spans="2:8" x14ac:dyDescent="0.25">
      <c r="D409" t="s">
        <v>128</v>
      </c>
      <c r="E409" s="3"/>
      <c r="F409" s="3"/>
      <c r="G409" s="3"/>
      <c r="H409" s="3">
        <v>44.743114392479995</v>
      </c>
    </row>
    <row r="410" spans="2:8" x14ac:dyDescent="0.25">
      <c r="C410">
        <v>5</v>
      </c>
      <c r="D410" t="s">
        <v>127</v>
      </c>
      <c r="E410" s="3"/>
      <c r="F410" s="3"/>
      <c r="G410" s="3"/>
      <c r="H410" s="3">
        <v>56.531407000000002</v>
      </c>
    </row>
    <row r="411" spans="2:8" x14ac:dyDescent="0.25">
      <c r="D411" t="s">
        <v>128</v>
      </c>
      <c r="E411" s="3"/>
      <c r="F411" s="3"/>
      <c r="G411" s="3"/>
      <c r="H411" s="3">
        <v>55.928892990599991</v>
      </c>
    </row>
    <row r="412" spans="2:8" x14ac:dyDescent="0.25">
      <c r="C412">
        <v>6</v>
      </c>
      <c r="D412" t="s">
        <v>128</v>
      </c>
      <c r="E412" s="3"/>
      <c r="F412" s="3"/>
      <c r="G412" s="3"/>
      <c r="H412" s="3">
        <v>67.11467158872</v>
      </c>
    </row>
    <row r="413" spans="2:8" x14ac:dyDescent="0.25">
      <c r="C413">
        <v>12</v>
      </c>
      <c r="D413" t="s">
        <v>128</v>
      </c>
      <c r="E413" s="3"/>
      <c r="F413" s="3"/>
      <c r="G413" s="3"/>
      <c r="H413" s="3">
        <v>134.28305639999999</v>
      </c>
    </row>
    <row r="414" spans="2:8" x14ac:dyDescent="0.25">
      <c r="B414" t="s">
        <v>108</v>
      </c>
      <c r="C414">
        <v>1</v>
      </c>
      <c r="D414" t="s">
        <v>128</v>
      </c>
      <c r="E414" s="3"/>
      <c r="F414" s="3"/>
      <c r="G414" s="3"/>
      <c r="H414" s="3">
        <v>0</v>
      </c>
    </row>
    <row r="415" spans="2:8" x14ac:dyDescent="0.25">
      <c r="C415">
        <v>2</v>
      </c>
      <c r="D415" t="s">
        <v>128</v>
      </c>
      <c r="E415" s="3"/>
      <c r="F415" s="3"/>
      <c r="G415" s="3"/>
      <c r="H415" s="3">
        <v>0</v>
      </c>
    </row>
    <row r="416" spans="2:8" x14ac:dyDescent="0.25">
      <c r="C416">
        <v>3</v>
      </c>
      <c r="D416" t="s">
        <v>128</v>
      </c>
      <c r="E416" s="3"/>
      <c r="F416" s="3"/>
      <c r="G416" s="3"/>
      <c r="H416" s="3">
        <v>0.13</v>
      </c>
    </row>
    <row r="417" spans="2:8" x14ac:dyDescent="0.25">
      <c r="C417">
        <v>4</v>
      </c>
      <c r="D417" t="s">
        <v>128</v>
      </c>
      <c r="E417" s="3"/>
      <c r="F417" s="3"/>
      <c r="G417" s="3"/>
      <c r="H417" s="3">
        <v>0.13</v>
      </c>
    </row>
    <row r="418" spans="2:8" x14ac:dyDescent="0.25">
      <c r="C418">
        <v>5</v>
      </c>
      <c r="D418" t="s">
        <v>128</v>
      </c>
      <c r="E418" s="3"/>
      <c r="F418" s="3"/>
      <c r="G418" s="3"/>
      <c r="H418" s="3">
        <v>0.13</v>
      </c>
    </row>
    <row r="419" spans="2:8" x14ac:dyDescent="0.25">
      <c r="C419">
        <v>6</v>
      </c>
      <c r="D419" t="s">
        <v>128</v>
      </c>
      <c r="E419" s="3"/>
      <c r="F419" s="3"/>
      <c r="G419" s="3"/>
      <c r="H419" s="3">
        <v>0.26</v>
      </c>
    </row>
    <row r="420" spans="2:8" x14ac:dyDescent="0.25">
      <c r="C420">
        <v>12</v>
      </c>
      <c r="D420" t="s">
        <v>127</v>
      </c>
      <c r="E420" s="3">
        <v>1.3209</v>
      </c>
      <c r="F420" s="3"/>
      <c r="G420" s="3"/>
      <c r="H420" s="3"/>
    </row>
    <row r="421" spans="2:8" x14ac:dyDescent="0.25">
      <c r="D421" t="s">
        <v>128</v>
      </c>
      <c r="E421" s="3"/>
      <c r="F421" s="3"/>
      <c r="G421" s="3"/>
      <c r="H421" s="3">
        <v>0.52</v>
      </c>
    </row>
    <row r="422" spans="2:8" x14ac:dyDescent="0.25">
      <c r="B422" t="s">
        <v>109</v>
      </c>
      <c r="C422">
        <v>1</v>
      </c>
      <c r="D422" t="s">
        <v>127</v>
      </c>
      <c r="E422" s="3"/>
      <c r="F422" s="3"/>
      <c r="G422" s="3"/>
      <c r="H422" s="3">
        <v>0.16750000000000001</v>
      </c>
    </row>
    <row r="423" spans="2:8" x14ac:dyDescent="0.25">
      <c r="D423" t="s">
        <v>128</v>
      </c>
      <c r="E423" s="3"/>
      <c r="F423" s="3"/>
      <c r="G423" s="3"/>
      <c r="H423" s="3">
        <v>14.0370184345</v>
      </c>
    </row>
    <row r="424" spans="2:8" x14ac:dyDescent="0.25">
      <c r="C424">
        <v>2</v>
      </c>
      <c r="D424" t="s">
        <v>127</v>
      </c>
      <c r="E424" s="3"/>
      <c r="F424" s="3"/>
      <c r="G424" s="3"/>
      <c r="H424" s="3">
        <v>27.669772999999999</v>
      </c>
    </row>
    <row r="425" spans="2:8" x14ac:dyDescent="0.25">
      <c r="D425" t="s">
        <v>128</v>
      </c>
      <c r="E425" s="3"/>
      <c r="F425" s="3"/>
      <c r="G425" s="3"/>
      <c r="H425" s="3">
        <v>28.140447815499996</v>
      </c>
    </row>
    <row r="426" spans="2:8" x14ac:dyDescent="0.25">
      <c r="C426">
        <v>3</v>
      </c>
      <c r="D426" t="s">
        <v>127</v>
      </c>
      <c r="E426" s="3"/>
      <c r="F426" s="3"/>
      <c r="G426" s="3"/>
      <c r="H426" s="3">
        <v>42.250594</v>
      </c>
    </row>
    <row r="427" spans="2:8" x14ac:dyDescent="0.25">
      <c r="D427" t="s">
        <v>128</v>
      </c>
      <c r="E427" s="3"/>
      <c r="F427" s="3"/>
      <c r="G427" s="3"/>
      <c r="H427" s="3">
        <v>42.22726625</v>
      </c>
    </row>
    <row r="428" spans="2:8" x14ac:dyDescent="0.25">
      <c r="C428">
        <v>4</v>
      </c>
      <c r="D428" t="s">
        <v>127</v>
      </c>
      <c r="E428" s="3"/>
      <c r="F428" s="3"/>
      <c r="G428" s="3"/>
      <c r="H428" s="3">
        <v>51.866083000000003</v>
      </c>
    </row>
    <row r="429" spans="2:8" x14ac:dyDescent="0.25">
      <c r="D429" t="s">
        <v>128</v>
      </c>
      <c r="E429" s="3"/>
      <c r="F429" s="3"/>
      <c r="G429" s="3"/>
      <c r="H429" s="3">
        <v>59.419893210342984</v>
      </c>
    </row>
    <row r="430" spans="2:8" x14ac:dyDescent="0.25">
      <c r="C430">
        <v>5</v>
      </c>
      <c r="D430" t="s">
        <v>127</v>
      </c>
      <c r="E430" s="3"/>
      <c r="F430" s="3"/>
      <c r="G430" s="3"/>
      <c r="H430" s="3">
        <v>67.156281000000007</v>
      </c>
    </row>
    <row r="431" spans="2:8" x14ac:dyDescent="0.25">
      <c r="D431" t="s">
        <v>128</v>
      </c>
      <c r="E431" s="3"/>
      <c r="F431" s="3"/>
      <c r="G431" s="3"/>
      <c r="H431" s="3">
        <v>74.131699162166001</v>
      </c>
    </row>
    <row r="432" spans="2:8" x14ac:dyDescent="0.25">
      <c r="C432">
        <v>6</v>
      </c>
      <c r="D432" t="s">
        <v>128</v>
      </c>
      <c r="E432" s="3"/>
      <c r="F432" s="3"/>
      <c r="G432" s="3"/>
      <c r="H432" s="3">
        <v>87.529804999999996</v>
      </c>
    </row>
    <row r="433" spans="2:8" x14ac:dyDescent="0.25">
      <c r="C433">
        <v>12</v>
      </c>
      <c r="D433" t="s">
        <v>127</v>
      </c>
      <c r="E433" s="3">
        <v>0</v>
      </c>
      <c r="F433" s="3">
        <v>0.39550000000000002</v>
      </c>
      <c r="G433" s="3"/>
      <c r="H433" s="3"/>
    </row>
    <row r="434" spans="2:8" x14ac:dyDescent="0.25">
      <c r="D434" t="s">
        <v>128</v>
      </c>
      <c r="E434" s="3"/>
      <c r="F434" s="3"/>
      <c r="G434" s="3"/>
      <c r="H434" s="3">
        <v>183.77698983001198</v>
      </c>
    </row>
    <row r="435" spans="2:8" x14ac:dyDescent="0.25">
      <c r="B435" t="s">
        <v>111</v>
      </c>
      <c r="C435">
        <v>1</v>
      </c>
      <c r="D435" t="s">
        <v>128</v>
      </c>
      <c r="E435" s="3"/>
      <c r="F435" s="3"/>
      <c r="G435" s="3"/>
      <c r="H435" s="3">
        <v>7.9967999999999997E-2</v>
      </c>
    </row>
    <row r="436" spans="2:8" x14ac:dyDescent="0.25">
      <c r="C436">
        <v>2</v>
      </c>
      <c r="D436" t="s">
        <v>128</v>
      </c>
      <c r="E436" s="3"/>
      <c r="F436" s="3"/>
      <c r="G436" s="3"/>
      <c r="H436" s="3">
        <v>0.15993599999999999</v>
      </c>
    </row>
    <row r="437" spans="2:8" x14ac:dyDescent="0.25">
      <c r="C437">
        <v>3</v>
      </c>
      <c r="D437" t="s">
        <v>127</v>
      </c>
      <c r="E437" s="3"/>
      <c r="F437" s="3"/>
      <c r="G437" s="3"/>
      <c r="H437" s="3">
        <v>0.27500000000000002</v>
      </c>
    </row>
    <row r="438" spans="2:8" x14ac:dyDescent="0.25">
      <c r="D438" t="s">
        <v>128</v>
      </c>
      <c r="E438" s="3"/>
      <c r="F438" s="3"/>
      <c r="G438" s="3"/>
      <c r="H438" s="3">
        <v>0.23990400000000001</v>
      </c>
    </row>
    <row r="439" spans="2:8" x14ac:dyDescent="0.25">
      <c r="C439">
        <v>4</v>
      </c>
      <c r="D439" t="s">
        <v>127</v>
      </c>
      <c r="E439" s="3"/>
      <c r="F439" s="3"/>
      <c r="G439" s="3"/>
      <c r="H439" s="3">
        <v>0.27500000000000002</v>
      </c>
    </row>
    <row r="440" spans="2:8" x14ac:dyDescent="0.25">
      <c r="D440" t="s">
        <v>128</v>
      </c>
      <c r="E440" s="3"/>
      <c r="F440" s="3"/>
      <c r="G440" s="3"/>
      <c r="H440" s="3">
        <v>0.31987199999999999</v>
      </c>
    </row>
    <row r="441" spans="2:8" x14ac:dyDescent="0.25">
      <c r="C441">
        <v>5</v>
      </c>
      <c r="D441" t="s">
        <v>127</v>
      </c>
      <c r="E441" s="3"/>
      <c r="F441" s="3"/>
      <c r="G441" s="3"/>
      <c r="H441" s="3">
        <v>10.985000000000001</v>
      </c>
    </row>
    <row r="442" spans="2:8" x14ac:dyDescent="0.25">
      <c r="D442" t="s">
        <v>128</v>
      </c>
      <c r="E442" s="3"/>
      <c r="F442" s="3"/>
      <c r="G442" s="3"/>
      <c r="H442" s="3">
        <v>0.39983999999999997</v>
      </c>
    </row>
    <row r="443" spans="2:8" x14ac:dyDescent="0.25">
      <c r="C443">
        <v>6</v>
      </c>
      <c r="D443" t="s">
        <v>128</v>
      </c>
      <c r="E443" s="3"/>
      <c r="F443" s="3"/>
      <c r="G443" s="3"/>
      <c r="H443" s="3">
        <v>0.47980800000000001</v>
      </c>
    </row>
    <row r="444" spans="2:8" x14ac:dyDescent="0.25">
      <c r="C444">
        <v>12</v>
      </c>
      <c r="D444" t="s">
        <v>128</v>
      </c>
      <c r="E444" s="3"/>
      <c r="F444" s="3"/>
      <c r="G444" s="3"/>
      <c r="H444" s="3">
        <v>0.96</v>
      </c>
    </row>
    <row r="445" spans="2:8" x14ac:dyDescent="0.25">
      <c r="B445" t="s">
        <v>205</v>
      </c>
      <c r="C445">
        <v>1</v>
      </c>
      <c r="D445" t="s">
        <v>127</v>
      </c>
      <c r="E445" s="3"/>
      <c r="F445" s="3"/>
      <c r="G445" s="3"/>
      <c r="H445" s="3">
        <v>2.3316E-2</v>
      </c>
    </row>
    <row r="446" spans="2:8" x14ac:dyDescent="0.25">
      <c r="D446" t="s">
        <v>128</v>
      </c>
      <c r="E446" s="3"/>
      <c r="F446" s="3"/>
      <c r="G446" s="3"/>
      <c r="H446" s="3">
        <v>2.3011500000000001E-2</v>
      </c>
    </row>
    <row r="447" spans="2:8" x14ac:dyDescent="0.25">
      <c r="C447">
        <v>2</v>
      </c>
      <c r="D447" t="s">
        <v>127</v>
      </c>
      <c r="E447" s="3"/>
      <c r="F447" s="3"/>
      <c r="G447" s="3"/>
      <c r="H447" s="3">
        <v>5.1713000000000002E-2</v>
      </c>
    </row>
    <row r="448" spans="2:8" x14ac:dyDescent="0.25">
      <c r="D448" t="s">
        <v>128</v>
      </c>
      <c r="E448" s="3"/>
      <c r="F448" s="3"/>
      <c r="G448" s="3"/>
      <c r="H448" s="3">
        <v>5.1749999999999997E-2</v>
      </c>
    </row>
    <row r="449" spans="2:8" x14ac:dyDescent="0.25">
      <c r="C449">
        <v>3</v>
      </c>
      <c r="D449" t="s">
        <v>127</v>
      </c>
      <c r="E449" s="3"/>
      <c r="F449" s="3"/>
      <c r="G449" s="3"/>
      <c r="H449" s="3">
        <v>8.2857E-2</v>
      </c>
    </row>
    <row r="450" spans="2:8" x14ac:dyDescent="0.25">
      <c r="D450" t="s">
        <v>128</v>
      </c>
      <c r="E450" s="3"/>
      <c r="F450" s="3"/>
      <c r="G450" s="3"/>
      <c r="H450" s="3">
        <v>8.0488500000000004E-2</v>
      </c>
    </row>
    <row r="451" spans="2:8" x14ac:dyDescent="0.25">
      <c r="C451">
        <v>4</v>
      </c>
      <c r="D451" t="s">
        <v>127</v>
      </c>
      <c r="E451" s="3"/>
      <c r="F451" s="3"/>
      <c r="G451" s="3"/>
      <c r="H451" s="3">
        <v>0.12139800000000001</v>
      </c>
    </row>
    <row r="452" spans="2:8" x14ac:dyDescent="0.25">
      <c r="D452" t="s">
        <v>128</v>
      </c>
      <c r="E452" s="3"/>
      <c r="F452" s="3"/>
      <c r="G452" s="3"/>
      <c r="H452" s="3">
        <v>0.198375</v>
      </c>
    </row>
    <row r="453" spans="2:8" x14ac:dyDescent="0.25">
      <c r="C453">
        <v>5</v>
      </c>
      <c r="D453" t="s">
        <v>127</v>
      </c>
      <c r="E453" s="3"/>
      <c r="F453" s="3"/>
      <c r="G453" s="3"/>
      <c r="H453" s="3">
        <v>0.278748</v>
      </c>
    </row>
    <row r="454" spans="2:8" x14ac:dyDescent="0.25">
      <c r="D454" t="s">
        <v>128</v>
      </c>
      <c r="E454" s="3"/>
      <c r="F454" s="3"/>
      <c r="G454" s="3"/>
      <c r="H454" s="3">
        <v>0.23001149999999998</v>
      </c>
    </row>
    <row r="455" spans="2:8" x14ac:dyDescent="0.25">
      <c r="C455">
        <v>6</v>
      </c>
      <c r="D455" t="s">
        <v>128</v>
      </c>
      <c r="E455" s="3"/>
      <c r="F455" s="3"/>
      <c r="G455" s="3"/>
      <c r="H455" s="3">
        <v>0.51463333749999995</v>
      </c>
    </row>
    <row r="456" spans="2:8" x14ac:dyDescent="0.25">
      <c r="C456">
        <v>12</v>
      </c>
      <c r="D456" t="s">
        <v>127</v>
      </c>
      <c r="E456" s="3">
        <v>-0.49144500000000002</v>
      </c>
      <c r="F456" s="3">
        <v>5.4744000000000001E-2</v>
      </c>
      <c r="G456" s="3"/>
      <c r="H456" s="3"/>
    </row>
    <row r="457" spans="2:8" x14ac:dyDescent="0.25">
      <c r="D457" t="s">
        <v>128</v>
      </c>
      <c r="E457" s="3"/>
      <c r="F457" s="3"/>
      <c r="G457" s="3"/>
      <c r="H457" s="3">
        <v>1.227625</v>
      </c>
    </row>
    <row r="458" spans="2:8" x14ac:dyDescent="0.25">
      <c r="B458" t="s">
        <v>113</v>
      </c>
      <c r="C458">
        <v>1</v>
      </c>
      <c r="D458" t="s">
        <v>128</v>
      </c>
      <c r="E458" s="3"/>
      <c r="F458" s="3"/>
      <c r="G458" s="3"/>
      <c r="H458" s="3">
        <v>14.981995636300001</v>
      </c>
    </row>
    <row r="459" spans="2:8" x14ac:dyDescent="0.25">
      <c r="C459">
        <v>2</v>
      </c>
      <c r="D459" t="s">
        <v>128</v>
      </c>
      <c r="E459" s="3"/>
      <c r="F459" s="3"/>
      <c r="G459" s="3"/>
      <c r="H459" s="3">
        <v>34.014891272599996</v>
      </c>
    </row>
    <row r="460" spans="2:8" x14ac:dyDescent="0.25">
      <c r="C460">
        <v>3</v>
      </c>
      <c r="D460" t="s">
        <v>128</v>
      </c>
      <c r="E460" s="3"/>
      <c r="F460" s="3"/>
      <c r="G460" s="3"/>
      <c r="H460" s="3">
        <v>48.397336908900002</v>
      </c>
    </row>
    <row r="461" spans="2:8" x14ac:dyDescent="0.25">
      <c r="C461">
        <v>4</v>
      </c>
      <c r="D461" t="s">
        <v>128</v>
      </c>
      <c r="E461" s="3"/>
      <c r="F461" s="3"/>
      <c r="G461" s="3"/>
      <c r="H461" s="3">
        <v>62.7797825452</v>
      </c>
    </row>
    <row r="462" spans="2:8" x14ac:dyDescent="0.25">
      <c r="C462">
        <v>5</v>
      </c>
      <c r="D462" t="s">
        <v>128</v>
      </c>
      <c r="E462" s="3"/>
      <c r="F462" s="3"/>
      <c r="G462" s="3"/>
      <c r="H462" s="3">
        <v>77.162228181499998</v>
      </c>
    </row>
    <row r="463" spans="2:8" x14ac:dyDescent="0.25">
      <c r="C463">
        <v>6</v>
      </c>
      <c r="D463" t="s">
        <v>128</v>
      </c>
      <c r="E463" s="3"/>
      <c r="F463" s="3"/>
      <c r="G463" s="3"/>
      <c r="H463" s="3">
        <v>91.544673817800003</v>
      </c>
    </row>
    <row r="464" spans="2:8" x14ac:dyDescent="0.25">
      <c r="C464">
        <v>12</v>
      </c>
      <c r="D464" t="s">
        <v>128</v>
      </c>
      <c r="E464" s="3"/>
      <c r="F464" s="3"/>
      <c r="G464" s="3"/>
      <c r="H464" s="3">
        <v>183.158411</v>
      </c>
    </row>
    <row r="465" spans="2:8" x14ac:dyDescent="0.25">
      <c r="B465" t="s">
        <v>114</v>
      </c>
      <c r="C465">
        <v>12</v>
      </c>
      <c r="D465" t="s">
        <v>127</v>
      </c>
      <c r="E465" s="3"/>
      <c r="F465" s="3">
        <v>2.1</v>
      </c>
      <c r="G465" s="3"/>
      <c r="H465" s="3"/>
    </row>
    <row r="466" spans="2:8" x14ac:dyDescent="0.25">
      <c r="B466" t="s">
        <v>116</v>
      </c>
      <c r="C466">
        <v>1</v>
      </c>
      <c r="D466" t="s">
        <v>127</v>
      </c>
      <c r="E466" s="3"/>
      <c r="F466" s="3"/>
      <c r="G466" s="3"/>
      <c r="H466" s="3">
        <v>3.35</v>
      </c>
    </row>
    <row r="467" spans="2:8" x14ac:dyDescent="0.25">
      <c r="D467" t="s">
        <v>128</v>
      </c>
      <c r="E467" s="3"/>
      <c r="F467" s="3"/>
      <c r="G467" s="3"/>
      <c r="H467" s="3">
        <v>0</v>
      </c>
    </row>
    <row r="468" spans="2:8" x14ac:dyDescent="0.25">
      <c r="C468">
        <v>2</v>
      </c>
      <c r="D468" t="s">
        <v>127</v>
      </c>
      <c r="E468" s="3"/>
      <c r="F468" s="3"/>
      <c r="G468" s="3"/>
      <c r="H468" s="3">
        <v>7.43</v>
      </c>
    </row>
    <row r="469" spans="2:8" x14ac:dyDescent="0.25">
      <c r="D469" t="s">
        <v>128</v>
      </c>
      <c r="E469" s="3"/>
      <c r="F469" s="3"/>
      <c r="G469" s="3"/>
      <c r="H469" s="3">
        <v>0</v>
      </c>
    </row>
    <row r="470" spans="2:8" x14ac:dyDescent="0.25">
      <c r="C470">
        <v>3</v>
      </c>
      <c r="D470" t="s">
        <v>127</v>
      </c>
      <c r="E470" s="3"/>
      <c r="F470" s="3"/>
      <c r="G470" s="3"/>
      <c r="H470" s="3">
        <v>11.5825</v>
      </c>
    </row>
    <row r="471" spans="2:8" x14ac:dyDescent="0.25">
      <c r="D471" t="s">
        <v>128</v>
      </c>
      <c r="E471" s="3"/>
      <c r="F471" s="3"/>
      <c r="G471" s="3"/>
      <c r="H471" s="3">
        <v>0</v>
      </c>
    </row>
    <row r="472" spans="2:8" x14ac:dyDescent="0.25">
      <c r="C472">
        <v>4</v>
      </c>
      <c r="D472" t="s">
        <v>127</v>
      </c>
      <c r="E472" s="3"/>
      <c r="F472" s="3"/>
      <c r="G472" s="3"/>
      <c r="H472" s="3">
        <v>17.12</v>
      </c>
    </row>
    <row r="473" spans="2:8" x14ac:dyDescent="0.25">
      <c r="D473" t="s">
        <v>128</v>
      </c>
      <c r="E473" s="3"/>
      <c r="F473" s="3"/>
      <c r="G473" s="3"/>
      <c r="H473" s="3">
        <v>0</v>
      </c>
    </row>
    <row r="474" spans="2:8" x14ac:dyDescent="0.25">
      <c r="C474">
        <v>5</v>
      </c>
      <c r="D474" t="s">
        <v>127</v>
      </c>
      <c r="E474" s="3"/>
      <c r="F474" s="3"/>
      <c r="G474" s="3"/>
      <c r="H474" s="3">
        <v>36.454000000000001</v>
      </c>
    </row>
    <row r="475" spans="2:8" x14ac:dyDescent="0.25">
      <c r="D475" t="s">
        <v>128</v>
      </c>
      <c r="E475" s="3"/>
      <c r="F475" s="3"/>
      <c r="G475" s="3"/>
      <c r="H475" s="3">
        <v>0</v>
      </c>
    </row>
    <row r="476" spans="2:8" x14ac:dyDescent="0.25">
      <c r="C476">
        <v>6</v>
      </c>
      <c r="D476" t="s">
        <v>128</v>
      </c>
      <c r="E476" s="3"/>
      <c r="F476" s="3"/>
      <c r="G476" s="3"/>
      <c r="H476" s="3">
        <v>24.99945</v>
      </c>
    </row>
    <row r="477" spans="2:8" x14ac:dyDescent="0.25">
      <c r="C477">
        <v>12</v>
      </c>
      <c r="D477" t="s">
        <v>128</v>
      </c>
      <c r="E477" s="3"/>
      <c r="F477" s="3"/>
      <c r="G477" s="3"/>
      <c r="H477" s="3">
        <v>43.5</v>
      </c>
    </row>
    <row r="478" spans="2:8" x14ac:dyDescent="0.25">
      <c r="B478" t="s">
        <v>117</v>
      </c>
      <c r="C478">
        <v>1</v>
      </c>
      <c r="D478" t="s">
        <v>128</v>
      </c>
      <c r="E478" s="3"/>
      <c r="F478" s="3"/>
      <c r="G478" s="3"/>
      <c r="H478" s="3">
        <v>4.0019999999999998</v>
      </c>
    </row>
    <row r="479" spans="2:8" x14ac:dyDescent="0.25">
      <c r="C479">
        <v>2</v>
      </c>
      <c r="D479" t="s">
        <v>128</v>
      </c>
      <c r="E479" s="3"/>
      <c r="F479" s="3"/>
      <c r="G479" s="3"/>
      <c r="H479" s="3">
        <v>9</v>
      </c>
    </row>
    <row r="480" spans="2:8" x14ac:dyDescent="0.25">
      <c r="C480">
        <v>3</v>
      </c>
      <c r="D480" t="s">
        <v>128</v>
      </c>
      <c r="E480" s="3"/>
      <c r="F480" s="3"/>
      <c r="G480" s="3"/>
      <c r="H480" s="3">
        <v>13.997999999999999</v>
      </c>
    </row>
    <row r="481" spans="2:8" x14ac:dyDescent="0.25">
      <c r="C481">
        <v>4</v>
      </c>
      <c r="D481" t="s">
        <v>128</v>
      </c>
      <c r="E481" s="3"/>
      <c r="F481" s="3"/>
      <c r="G481" s="3"/>
      <c r="H481" s="3">
        <v>19.5</v>
      </c>
    </row>
    <row r="482" spans="2:8" x14ac:dyDescent="0.25">
      <c r="C482">
        <v>5</v>
      </c>
      <c r="D482" t="s">
        <v>127</v>
      </c>
      <c r="E482" s="3"/>
      <c r="F482" s="3"/>
      <c r="G482" s="3"/>
      <c r="H482" s="3">
        <v>3.2725</v>
      </c>
    </row>
    <row r="483" spans="2:8" x14ac:dyDescent="0.25">
      <c r="D483" t="s">
        <v>128</v>
      </c>
      <c r="E483" s="3"/>
      <c r="F483" s="3"/>
      <c r="G483" s="3"/>
      <c r="H483" s="3">
        <v>25.001999999999999</v>
      </c>
    </row>
    <row r="484" spans="2:8" x14ac:dyDescent="0.25">
      <c r="C484">
        <v>6</v>
      </c>
      <c r="D484" t="s">
        <v>128</v>
      </c>
      <c r="E484" s="3"/>
      <c r="F484" s="3"/>
      <c r="G484" s="3"/>
      <c r="H484" s="3">
        <v>29.501999999999999</v>
      </c>
    </row>
    <row r="485" spans="2:8" x14ac:dyDescent="0.25">
      <c r="C485">
        <v>12</v>
      </c>
      <c r="D485" t="s">
        <v>128</v>
      </c>
      <c r="E485" s="3"/>
      <c r="F485" s="3"/>
      <c r="G485" s="3"/>
      <c r="H485" s="3">
        <v>60</v>
      </c>
    </row>
    <row r="486" spans="2:8" x14ac:dyDescent="0.25">
      <c r="B486" t="s">
        <v>120</v>
      </c>
      <c r="C486">
        <v>1</v>
      </c>
      <c r="D486" t="s">
        <v>128</v>
      </c>
      <c r="E486" s="3"/>
      <c r="F486" s="3"/>
      <c r="G486" s="3"/>
      <c r="H486" s="3">
        <v>0</v>
      </c>
    </row>
    <row r="487" spans="2:8" x14ac:dyDescent="0.25">
      <c r="C487">
        <v>2</v>
      </c>
      <c r="D487" t="s">
        <v>128</v>
      </c>
      <c r="E487" s="3"/>
      <c r="F487" s="3"/>
      <c r="G487" s="3"/>
      <c r="H487" s="3">
        <v>0</v>
      </c>
    </row>
    <row r="488" spans="2:8" x14ac:dyDescent="0.25">
      <c r="C488">
        <v>3</v>
      </c>
      <c r="D488" t="s">
        <v>128</v>
      </c>
      <c r="E488" s="3"/>
      <c r="F488" s="3"/>
      <c r="G488" s="3"/>
      <c r="H488" s="3">
        <v>0</v>
      </c>
    </row>
    <row r="489" spans="2:8" x14ac:dyDescent="0.25">
      <c r="C489">
        <v>4</v>
      </c>
      <c r="D489" t="s">
        <v>128</v>
      </c>
      <c r="E489" s="3"/>
      <c r="F489" s="3"/>
      <c r="G489" s="3"/>
      <c r="H489" s="3">
        <v>0</v>
      </c>
    </row>
    <row r="490" spans="2:8" x14ac:dyDescent="0.25">
      <c r="C490">
        <v>5</v>
      </c>
      <c r="D490" t="s">
        <v>128</v>
      </c>
      <c r="E490" s="3"/>
      <c r="F490" s="3"/>
      <c r="G490" s="3"/>
      <c r="H490" s="3">
        <v>0</v>
      </c>
    </row>
    <row r="491" spans="2:8" x14ac:dyDescent="0.25">
      <c r="C491">
        <v>6</v>
      </c>
      <c r="D491" t="s">
        <v>128</v>
      </c>
      <c r="E491" s="3"/>
      <c r="F491" s="3"/>
      <c r="G491" s="3"/>
      <c r="H491" s="3">
        <v>0</v>
      </c>
    </row>
    <row r="492" spans="2:8" x14ac:dyDescent="0.25">
      <c r="C492">
        <v>12</v>
      </c>
      <c r="D492" t="s">
        <v>128</v>
      </c>
      <c r="E492" s="3"/>
      <c r="F492" s="3"/>
      <c r="G492" s="3"/>
      <c r="H492" s="3">
        <v>0</v>
      </c>
    </row>
    <row r="493" spans="2:8" x14ac:dyDescent="0.25">
      <c r="B493" t="s">
        <v>121</v>
      </c>
      <c r="C493">
        <v>1</v>
      </c>
      <c r="D493" t="s">
        <v>128</v>
      </c>
      <c r="E493" s="3"/>
      <c r="F493" s="3"/>
      <c r="G493" s="3"/>
      <c r="H493" s="3">
        <v>0</v>
      </c>
    </row>
    <row r="494" spans="2:8" x14ac:dyDescent="0.25">
      <c r="C494">
        <v>2</v>
      </c>
      <c r="D494" t="s">
        <v>128</v>
      </c>
      <c r="E494" s="3"/>
      <c r="F494" s="3"/>
      <c r="G494" s="3"/>
      <c r="H494" s="3">
        <v>0</v>
      </c>
    </row>
    <row r="495" spans="2:8" x14ac:dyDescent="0.25">
      <c r="C495">
        <v>3</v>
      </c>
      <c r="D495" t="s">
        <v>128</v>
      </c>
      <c r="E495" s="3"/>
      <c r="F495" s="3"/>
      <c r="G495" s="3"/>
      <c r="H495" s="3">
        <v>0</v>
      </c>
    </row>
    <row r="496" spans="2:8" x14ac:dyDescent="0.25">
      <c r="C496">
        <v>4</v>
      </c>
      <c r="D496" t="s">
        <v>128</v>
      </c>
      <c r="E496" s="3"/>
      <c r="F496" s="3"/>
      <c r="G496" s="3"/>
      <c r="H496" s="3">
        <v>15</v>
      </c>
    </row>
    <row r="497" spans="3:8" x14ac:dyDescent="0.25">
      <c r="C497">
        <v>5</v>
      </c>
      <c r="D497" t="s">
        <v>128</v>
      </c>
      <c r="E497" s="3"/>
      <c r="F497" s="3"/>
      <c r="G497" s="3"/>
      <c r="H497" s="3">
        <v>15</v>
      </c>
    </row>
    <row r="498" spans="3:8" x14ac:dyDescent="0.25">
      <c r="C498">
        <v>6</v>
      </c>
      <c r="D498" t="s">
        <v>128</v>
      </c>
      <c r="E498" s="3"/>
      <c r="F498" s="3"/>
      <c r="G498" s="3"/>
      <c r="H498" s="3">
        <v>15</v>
      </c>
    </row>
    <row r="499" spans="3:8" x14ac:dyDescent="0.25">
      <c r="C499">
        <v>12</v>
      </c>
      <c r="D499" t="s">
        <v>128</v>
      </c>
      <c r="E499" s="3"/>
      <c r="F499" s="3"/>
      <c r="G499" s="3"/>
      <c r="H499" s="3">
        <v>60</v>
      </c>
    </row>
  </sheetData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233A3-C4FD-454A-9B9E-066232F1138A}">
  <sheetPr codeName="Hoja2">
    <tabColor theme="9"/>
  </sheetPr>
  <dimension ref="A1:K21"/>
  <sheetViews>
    <sheetView showGridLines="0" topLeftCell="A7" zoomScale="130" zoomScaleNormal="130" workbookViewId="0">
      <selection activeCell="A16" sqref="A16:J20"/>
    </sheetView>
  </sheetViews>
  <sheetFormatPr baseColWidth="10" defaultColWidth="0" defaultRowHeight="15" zeroHeight="1" x14ac:dyDescent="0.25"/>
  <cols>
    <col min="1" max="4" width="11.42578125" customWidth="1"/>
    <col min="5" max="5" width="2.7109375" customWidth="1"/>
    <col min="6" max="11" width="11.42578125" customWidth="1"/>
    <col min="12" max="16384" width="11.42578125" hidden="1"/>
  </cols>
  <sheetData>
    <row r="1" spans="1:10" x14ac:dyDescent="0.25"/>
    <row r="2" spans="1:10" ht="21" x14ac:dyDescent="0.35">
      <c r="A2" s="247" t="s">
        <v>396</v>
      </c>
      <c r="B2" s="248"/>
      <c r="C2" s="248"/>
      <c r="D2" s="248"/>
      <c r="E2" s="248"/>
      <c r="F2" s="248"/>
      <c r="G2" s="248"/>
      <c r="H2" s="249"/>
    </row>
    <row r="3" spans="1:10" x14ac:dyDescent="0.25"/>
    <row r="4" spans="1:10" x14ac:dyDescent="0.25"/>
    <row r="5" spans="1:10" ht="21" x14ac:dyDescent="0.35">
      <c r="A5" s="254" t="s">
        <v>119</v>
      </c>
      <c r="B5" s="255"/>
      <c r="C5" s="255"/>
      <c r="D5" s="255"/>
      <c r="E5" s="255"/>
      <c r="F5" s="255"/>
      <c r="G5" s="255"/>
      <c r="H5" s="256"/>
    </row>
    <row r="6" spans="1:10" x14ac:dyDescent="0.25"/>
    <row r="7" spans="1:10" x14ac:dyDescent="0.25">
      <c r="B7" s="234" t="str">
        <f>modelo!F3</f>
        <v>2021  (Proy)</v>
      </c>
      <c r="C7" s="235"/>
      <c r="D7" s="235"/>
      <c r="F7" s="234" t="str">
        <f>modelo!G3</f>
        <v>2022  (Ppto)</v>
      </c>
      <c r="G7" s="235"/>
      <c r="H7" s="235"/>
      <c r="I7" s="253" t="s">
        <v>285</v>
      </c>
      <c r="J7" s="68"/>
    </row>
    <row r="8" spans="1:10" x14ac:dyDescent="0.25">
      <c r="B8" s="236" t="s">
        <v>400</v>
      </c>
      <c r="C8" s="236" t="s">
        <v>401</v>
      </c>
      <c r="D8" s="236" t="s">
        <v>402</v>
      </c>
      <c r="E8" s="5"/>
      <c r="F8" s="236" t="s">
        <v>400</v>
      </c>
      <c r="G8" s="236" t="s">
        <v>401</v>
      </c>
      <c r="H8" s="236" t="s">
        <v>402</v>
      </c>
      <c r="I8" s="252" t="s">
        <v>403</v>
      </c>
      <c r="J8" s="252" t="s">
        <v>213</v>
      </c>
    </row>
    <row r="9" spans="1:10" x14ac:dyDescent="0.25">
      <c r="A9" s="224" t="s">
        <v>397</v>
      </c>
      <c r="B9" s="237"/>
      <c r="C9" s="237"/>
      <c r="D9" s="241">
        <f t="shared" ref="D9:D10" si="0">SUM(B9:C9)</f>
        <v>0</v>
      </c>
      <c r="F9" s="237"/>
      <c r="G9" s="237"/>
      <c r="H9" s="241">
        <f t="shared" ref="H9:H10" si="1">SUM(F9:G9)</f>
        <v>0</v>
      </c>
    </row>
    <row r="10" spans="1:10" x14ac:dyDescent="0.25">
      <c r="A10" s="225" t="s">
        <v>398</v>
      </c>
      <c r="B10" s="238"/>
      <c r="C10" s="238"/>
      <c r="D10" s="242">
        <f t="shared" si="0"/>
        <v>0</v>
      </c>
      <c r="F10" s="238"/>
      <c r="G10" s="238"/>
      <c r="H10" s="242">
        <f t="shared" si="1"/>
        <v>0</v>
      </c>
    </row>
    <row r="11" spans="1:10" x14ac:dyDescent="0.25">
      <c r="A11" s="239" t="s">
        <v>399</v>
      </c>
      <c r="B11" s="240">
        <f t="shared" ref="B11:D11" si="2">SUM(B9:B10)</f>
        <v>0</v>
      </c>
      <c r="C11" s="240">
        <f t="shared" si="2"/>
        <v>0</v>
      </c>
      <c r="D11" s="240">
        <f t="shared" si="2"/>
        <v>0</v>
      </c>
      <c r="F11" s="240">
        <f t="shared" ref="F11" si="3">SUM(F9:F10)</f>
        <v>0</v>
      </c>
      <c r="G11" s="240">
        <f t="shared" ref="G11" si="4">SUM(G9:G10)</f>
        <v>0</v>
      </c>
      <c r="H11" s="240">
        <f t="shared" ref="H11" si="5">SUM(H9:H10)</f>
        <v>0</v>
      </c>
      <c r="I11" s="240">
        <f>H11-D11</f>
        <v>0</v>
      </c>
      <c r="J11" s="250">
        <f>IFERROR(H11/D11-1,0)</f>
        <v>0</v>
      </c>
    </row>
    <row r="12" spans="1:10" x14ac:dyDescent="0.25"/>
    <row r="13" spans="1:10" x14ac:dyDescent="0.25"/>
    <row r="14" spans="1:10" ht="21" x14ac:dyDescent="0.35">
      <c r="A14" s="257" t="s">
        <v>118</v>
      </c>
      <c r="B14" s="258"/>
      <c r="C14" s="258"/>
      <c r="D14" s="258"/>
      <c r="E14" s="258"/>
      <c r="F14" s="258"/>
      <c r="G14" s="258"/>
      <c r="H14" s="259"/>
    </row>
    <row r="15" spans="1:10" x14ac:dyDescent="0.25"/>
    <row r="16" spans="1:10" x14ac:dyDescent="0.25">
      <c r="B16" s="234" t="str">
        <f>B7</f>
        <v>2021  (Proy)</v>
      </c>
      <c r="C16" s="235"/>
      <c r="D16" s="235"/>
      <c r="F16" s="234" t="str">
        <f>F7</f>
        <v>2022  (Ppto)</v>
      </c>
      <c r="G16" s="235"/>
      <c r="H16" s="235"/>
    </row>
    <row r="17" spans="1:10" x14ac:dyDescent="0.25">
      <c r="B17" s="236" t="s">
        <v>400</v>
      </c>
      <c r="C17" s="236" t="s">
        <v>401</v>
      </c>
      <c r="D17" s="236" t="s">
        <v>402</v>
      </c>
      <c r="E17" s="5"/>
      <c r="F17" s="236" t="s">
        <v>400</v>
      </c>
      <c r="G17" s="236" t="s">
        <v>401</v>
      </c>
      <c r="H17" s="236" t="s">
        <v>402</v>
      </c>
    </row>
    <row r="18" spans="1:10" x14ac:dyDescent="0.25">
      <c r="A18" s="224" t="s">
        <v>397</v>
      </c>
      <c r="B18" s="237">
        <v>26</v>
      </c>
      <c r="C18" s="237">
        <v>29</v>
      </c>
      <c r="D18" s="243">
        <f t="shared" ref="D18:D19" si="6">SUM(B18:C18)</f>
        <v>55</v>
      </c>
      <c r="F18" s="237">
        <v>25</v>
      </c>
      <c r="G18" s="237">
        <v>39</v>
      </c>
      <c r="H18" s="243">
        <f t="shared" ref="H18:H19" si="7">SUM(F18:G18)</f>
        <v>64</v>
      </c>
    </row>
    <row r="19" spans="1:10" x14ac:dyDescent="0.25">
      <c r="A19" s="225" t="s">
        <v>398</v>
      </c>
      <c r="B19" s="238">
        <v>74</v>
      </c>
      <c r="C19" s="238">
        <v>66</v>
      </c>
      <c r="D19" s="244">
        <f t="shared" si="6"/>
        <v>140</v>
      </c>
      <c r="F19" s="291">
        <v>74</v>
      </c>
      <c r="G19" s="291">
        <v>68</v>
      </c>
      <c r="H19" s="244">
        <f t="shared" si="7"/>
        <v>142</v>
      </c>
    </row>
    <row r="20" spans="1:10" x14ac:dyDescent="0.25">
      <c r="A20" s="246" t="s">
        <v>399</v>
      </c>
      <c r="B20" s="245">
        <f t="shared" ref="B20" si="8">SUM(B18:B19)</f>
        <v>100</v>
      </c>
      <c r="C20" s="245">
        <f t="shared" ref="C20" si="9">SUM(C18:C19)</f>
        <v>95</v>
      </c>
      <c r="D20" s="245">
        <f t="shared" ref="D20" si="10">SUM(D18:D19)</f>
        <v>195</v>
      </c>
      <c r="F20" s="245">
        <f t="shared" ref="F20" si="11">SUM(F18:F19)</f>
        <v>99</v>
      </c>
      <c r="G20" s="245">
        <f t="shared" ref="G20" si="12">SUM(G18:G19)</f>
        <v>107</v>
      </c>
      <c r="H20" s="245">
        <f t="shared" ref="H20" si="13">SUM(H18:H19)</f>
        <v>206</v>
      </c>
      <c r="I20" s="245">
        <f>H20-D20</f>
        <v>11</v>
      </c>
      <c r="J20" s="251">
        <f>IFERROR(H20/D20-1,0)</f>
        <v>5.6410256410256432E-2</v>
      </c>
    </row>
    <row r="21" spans="1:10" x14ac:dyDescent="0.25"/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B3BD6-2955-4D20-908B-401642FE7805}">
  <sheetPr codeName="Hoja12"/>
  <dimension ref="A1:O14"/>
  <sheetViews>
    <sheetView workbookViewId="0"/>
  </sheetViews>
  <sheetFormatPr baseColWidth="10" defaultRowHeight="15" x14ac:dyDescent="0.25"/>
  <cols>
    <col min="2" max="2" width="67.140625" bestFit="1" customWidth="1"/>
    <col min="7" max="7" width="16.42578125" customWidth="1"/>
    <col min="9" max="9" width="15" customWidth="1"/>
  </cols>
  <sheetData>
    <row r="1" spans="1:15" x14ac:dyDescent="0.25">
      <c r="A1" t="s">
        <v>328</v>
      </c>
      <c r="B1" t="s">
        <v>329</v>
      </c>
      <c r="E1" s="5" t="s">
        <v>125</v>
      </c>
      <c r="F1" s="5" t="s">
        <v>332</v>
      </c>
      <c r="G1" t="s">
        <v>333</v>
      </c>
      <c r="I1" t="s">
        <v>336</v>
      </c>
      <c r="K1" t="s">
        <v>339</v>
      </c>
      <c r="M1" t="s">
        <v>282</v>
      </c>
      <c r="O1" t="s">
        <v>283</v>
      </c>
    </row>
    <row r="2" spans="1:15" x14ac:dyDescent="0.25">
      <c r="A2" t="s">
        <v>219</v>
      </c>
      <c r="B2" t="s">
        <v>316</v>
      </c>
      <c r="E2" s="5">
        <v>2018</v>
      </c>
      <c r="F2" s="127">
        <v>3.1800000000000002E-2</v>
      </c>
      <c r="G2" s="127">
        <f>FVSCHEDULE(1,F3:$F$4)-1</f>
        <v>5.4711799999999977E-2</v>
      </c>
      <c r="I2" t="s">
        <v>334</v>
      </c>
      <c r="K2" s="122">
        <v>0.03</v>
      </c>
      <c r="M2" t="s">
        <v>284</v>
      </c>
      <c r="O2" t="s">
        <v>284</v>
      </c>
    </row>
    <row r="3" spans="1:15" x14ac:dyDescent="0.25">
      <c r="A3" t="s">
        <v>236</v>
      </c>
      <c r="B3" t="s">
        <v>317</v>
      </c>
      <c r="E3" s="5">
        <f t="shared" ref="E3:E4" si="0">E2+1</f>
        <v>2019</v>
      </c>
      <c r="F3" s="127">
        <v>3.7999999999999999E-2</v>
      </c>
      <c r="G3" s="127">
        <f>FVSCHEDULE(1,F4:$F$4)-1</f>
        <v>1.6100000000000003E-2</v>
      </c>
      <c r="I3" t="s">
        <v>335</v>
      </c>
    </row>
    <row r="4" spans="1:15" x14ac:dyDescent="0.25">
      <c r="A4" t="s">
        <v>224</v>
      </c>
      <c r="B4" t="s">
        <v>318</v>
      </c>
      <c r="E4" s="5">
        <f t="shared" si="0"/>
        <v>2020</v>
      </c>
      <c r="F4" s="127">
        <v>1.61E-2</v>
      </c>
      <c r="G4" s="127">
        <v>0</v>
      </c>
    </row>
    <row r="5" spans="1:15" x14ac:dyDescent="0.25">
      <c r="A5" t="s">
        <v>225</v>
      </c>
      <c r="B5" t="s">
        <v>319</v>
      </c>
      <c r="E5" s="5"/>
      <c r="F5" s="127"/>
      <c r="G5" s="127"/>
    </row>
    <row r="6" spans="1:15" x14ac:dyDescent="0.25">
      <c r="A6" t="s">
        <v>226</v>
      </c>
      <c r="B6" t="s">
        <v>320</v>
      </c>
    </row>
    <row r="7" spans="1:15" x14ac:dyDescent="0.25">
      <c r="A7" t="s">
        <v>227</v>
      </c>
      <c r="B7" t="s">
        <v>321</v>
      </c>
    </row>
    <row r="8" spans="1:15" x14ac:dyDescent="0.25">
      <c r="A8" t="s">
        <v>228</v>
      </c>
      <c r="B8" t="s">
        <v>322</v>
      </c>
    </row>
    <row r="9" spans="1:15" x14ac:dyDescent="0.25">
      <c r="A9" t="s">
        <v>200</v>
      </c>
      <c r="B9" t="s">
        <v>281</v>
      </c>
    </row>
    <row r="10" spans="1:15" x14ac:dyDescent="0.25">
      <c r="A10" t="s">
        <v>232</v>
      </c>
      <c r="B10" t="s">
        <v>323</v>
      </c>
    </row>
    <row r="11" spans="1:15" x14ac:dyDescent="0.25">
      <c r="A11" t="s">
        <v>231</v>
      </c>
      <c r="B11" t="s">
        <v>324</v>
      </c>
    </row>
    <row r="12" spans="1:15" x14ac:dyDescent="0.25">
      <c r="A12" t="s">
        <v>233</v>
      </c>
      <c r="B12" t="s">
        <v>325</v>
      </c>
    </row>
    <row r="13" spans="1:15" x14ac:dyDescent="0.25">
      <c r="A13" t="s">
        <v>234</v>
      </c>
      <c r="B13" t="s">
        <v>326</v>
      </c>
    </row>
    <row r="14" spans="1:15" x14ac:dyDescent="0.25">
      <c r="A14" t="s">
        <v>230</v>
      </c>
      <c r="B14" t="s">
        <v>327</v>
      </c>
    </row>
  </sheetData>
  <pageMargins left="0.7" right="0.7" top="0.75" bottom="0.75" header="0.3" footer="0.3"/>
  <tableParts count="3">
    <tablePart r:id="rId1"/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F38EB-88CC-41BA-B844-0054EDE17158}">
  <sheetPr codeName="Hoja1"/>
  <dimension ref="A1:AM44"/>
  <sheetViews>
    <sheetView showGridLines="0" showRowColHeaders="0" topLeftCell="A21" zoomScale="120" zoomScaleNormal="120" workbookViewId="0">
      <selection activeCell="B32" sqref="B32:G35"/>
    </sheetView>
  </sheetViews>
  <sheetFormatPr baseColWidth="10" defaultRowHeight="15" x14ac:dyDescent="0.25"/>
  <cols>
    <col min="1" max="1" width="2.7109375" customWidth="1"/>
    <col min="2" max="7" width="9.5703125" customWidth="1"/>
    <col min="8" max="8" width="1.7109375" customWidth="1"/>
    <col min="14" max="14" width="1.7109375" customWidth="1"/>
    <col min="15" max="15" width="11.140625" bestFit="1" customWidth="1"/>
    <col min="16" max="20" width="5.7109375" customWidth="1"/>
    <col min="36" max="36" width="11.42578125" customWidth="1"/>
  </cols>
  <sheetData>
    <row r="1" spans="1:38" ht="15.75" x14ac:dyDescent="0.25">
      <c r="A1" s="136"/>
      <c r="B1" s="199" t="str">
        <f>modelo!I2</f>
        <v>INSTITUTO DE LA FAMILIA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136"/>
      <c r="V1" s="136"/>
      <c r="W1" s="136"/>
      <c r="X1" s="136"/>
      <c r="Y1" s="136"/>
      <c r="Z1" s="136"/>
      <c r="AB1" s="97" t="s">
        <v>284</v>
      </c>
    </row>
    <row r="2" spans="1:38" x14ac:dyDescent="0.25">
      <c r="A2" s="136"/>
      <c r="B2" s="137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</row>
    <row r="3" spans="1:38" x14ac:dyDescent="0.25">
      <c r="A3" s="136"/>
      <c r="B3" s="138" t="s">
        <v>414</v>
      </c>
      <c r="C3" s="139"/>
      <c r="D3" s="139"/>
      <c r="E3" s="139"/>
      <c r="F3" s="139"/>
      <c r="G3" s="139"/>
      <c r="H3" s="136"/>
      <c r="I3" s="138" t="s">
        <v>357</v>
      </c>
      <c r="J3" s="139"/>
      <c r="K3" s="139"/>
      <c r="L3" s="139"/>
      <c r="M3" s="139"/>
      <c r="N3" s="136"/>
      <c r="O3" s="138" t="str">
        <f>"INDICADORES POR MATRICULA "&amp;AG14</f>
        <v>INDICADORES POR MATRICULA ($ K)</v>
      </c>
      <c r="P3" s="139"/>
      <c r="Q3" s="139"/>
      <c r="R3" s="139"/>
      <c r="S3" s="139"/>
      <c r="T3" s="139"/>
      <c r="U3" s="136"/>
      <c r="V3" s="136"/>
      <c r="W3" s="136"/>
      <c r="X3" s="136"/>
      <c r="Y3" s="136"/>
      <c r="Z3" s="136"/>
    </row>
    <row r="4" spans="1:38" x14ac:dyDescent="0.25">
      <c r="A4" s="136"/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274" t="str">
        <f>modelo!J3</f>
        <v>Real</v>
      </c>
      <c r="Q4" s="274" t="str">
        <f>modelo!K3</f>
        <v>Real</v>
      </c>
      <c r="R4" s="274" t="str">
        <f>modelo!L3</f>
        <v>Real</v>
      </c>
      <c r="S4" s="274" t="str">
        <f>AB1</f>
        <v>Proy</v>
      </c>
      <c r="T4" s="274" t="str">
        <f>modelo!M3</f>
        <v>Ppto</v>
      </c>
      <c r="U4" s="136"/>
      <c r="V4" s="136"/>
      <c r="W4" s="136"/>
      <c r="X4" s="136"/>
      <c r="Y4" s="136"/>
      <c r="Z4" s="136"/>
      <c r="AH4" s="5" t="str">
        <f>modelo!K3</f>
        <v>Real</v>
      </c>
      <c r="AI4" s="5" t="str">
        <f>modelo!L3</f>
        <v>Real</v>
      </c>
      <c r="AJ4" s="5" t="str">
        <f>AB1</f>
        <v>Proy</v>
      </c>
      <c r="AK4" s="5" t="str">
        <f>modelo!O3</f>
        <v>Ppto</v>
      </c>
    </row>
    <row r="5" spans="1:38" x14ac:dyDescent="0.25">
      <c r="A5" s="136"/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14"/>
      <c r="P5" s="108">
        <f>modelo!J4</f>
        <v>2018</v>
      </c>
      <c r="Q5" s="108">
        <f>modelo!K4</f>
        <v>2019</v>
      </c>
      <c r="R5" s="108">
        <f>modelo!L4</f>
        <v>2020</v>
      </c>
      <c r="S5" s="108">
        <f>modelo!M4</f>
        <v>2021</v>
      </c>
      <c r="T5" s="108">
        <f>modelo!O4</f>
        <v>2022</v>
      </c>
      <c r="U5" s="136"/>
      <c r="V5" s="136"/>
      <c r="W5" s="136"/>
      <c r="X5" s="136"/>
      <c r="Y5" s="136"/>
      <c r="Z5" s="136"/>
      <c r="AH5" t="str">
        <f>modelo!K4&amp;" / "&amp;modelo!$J$4</f>
        <v>2019 / 2018</v>
      </c>
      <c r="AI5" t="str">
        <f>modelo!L4&amp;" / "&amp;modelo!$J$4</f>
        <v>2020 / 2018</v>
      </c>
      <c r="AJ5" t="str">
        <f>IF(AJ4="Proy",modelo!N4&amp;" / "&amp;modelo!$J$4,modelo!M4&amp;" / "&amp;modelo!$J$4)</f>
        <v>2021 / 2018</v>
      </c>
      <c r="AK5" t="str">
        <f>modelo!O4&amp;" / "&amp;modelo!$J$4</f>
        <v>2022 / 2018</v>
      </c>
    </row>
    <row r="6" spans="1:38" x14ac:dyDescent="0.25">
      <c r="A6" s="136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203" t="s">
        <v>380</v>
      </c>
      <c r="P6" s="207">
        <f>modelo!B11/modelo!B$9</f>
        <v>11.002092871343127</v>
      </c>
      <c r="Q6" s="207">
        <f>modelo!C11/modelo!C$9</f>
        <v>11.844489101089298</v>
      </c>
      <c r="R6" s="207">
        <f>modelo!D11/modelo!D$9</f>
        <v>9.6495562726794279</v>
      </c>
      <c r="S6" s="207">
        <f>IF(S4="Proy",modelo!F11/modelo!F$9,modelo!E11/modelo!E$9)</f>
        <v>12.844947127487462</v>
      </c>
      <c r="T6" s="207">
        <f>modelo!G11/modelo!G$9</f>
        <v>13.786053139194948</v>
      </c>
      <c r="U6" s="136"/>
      <c r="V6" s="136"/>
      <c r="W6" s="136"/>
      <c r="X6" s="136"/>
      <c r="Y6" s="136"/>
      <c r="Z6" s="136"/>
      <c r="AG6" t="s">
        <v>268</v>
      </c>
      <c r="AH6" s="135"/>
      <c r="AI6" s="135"/>
      <c r="AJ6" s="135"/>
      <c r="AK6" s="135"/>
    </row>
    <row r="7" spans="1:38" ht="15" customHeight="1" x14ac:dyDescent="0.25">
      <c r="A7" s="136"/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208" t="s">
        <v>381</v>
      </c>
      <c r="P7" s="209">
        <f>modelo!B12/modelo!B$9</f>
        <v>8.4205248624925897</v>
      </c>
      <c r="Q7" s="209">
        <f>modelo!C12/modelo!C$9</f>
        <v>10.72634678228698</v>
      </c>
      <c r="R7" s="209">
        <f>modelo!D12/modelo!D$9</f>
        <v>8.8207483577511976</v>
      </c>
      <c r="S7" s="209">
        <f>IF(S4="Proy",modelo!F12/modelo!F$9,modelo!E12/modelo!E$9)</f>
        <v>11.367010896715845</v>
      </c>
      <c r="T7" s="209">
        <f>modelo!G12/modelo!G$9</f>
        <v>12.053447446432614</v>
      </c>
      <c r="U7" s="136"/>
      <c r="V7" s="136"/>
      <c r="W7" s="136"/>
      <c r="X7" s="136"/>
      <c r="Y7" s="136"/>
      <c r="Z7" s="136"/>
      <c r="AG7" t="s">
        <v>354</v>
      </c>
      <c r="AH7" s="135">
        <f>modelo!C8/modelo!$B$8-1</f>
        <v>-5.4852320675105481E-2</v>
      </c>
      <c r="AI7" s="135">
        <f>modelo!D8/modelo!$B$8-1</f>
        <v>-0.11814345991561181</v>
      </c>
      <c r="AJ7" s="135">
        <f>IF(AJ4="Proy",modelo!F8/modelo!$B$8-1,modelo!E8/modelo!$B$8-1)</f>
        <v>-0.17721518987341767</v>
      </c>
      <c r="AK7" s="135">
        <f>modelo!G8/modelo!$B$8-1</f>
        <v>-0.13080168776371304</v>
      </c>
    </row>
    <row r="8" spans="1:38" ht="15" customHeight="1" x14ac:dyDescent="0.25">
      <c r="A8" s="136"/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218" t="s">
        <v>382</v>
      </c>
      <c r="P8" s="219">
        <f>modelo!B13/modelo!B$9</f>
        <v>2.5815680088505362</v>
      </c>
      <c r="Q8" s="219">
        <f>modelo!C13/modelo!C$9</f>
        <v>1.1181423188023192</v>
      </c>
      <c r="R8" s="219">
        <f>modelo!D13/modelo!D$9</f>
        <v>0.82880791492823014</v>
      </c>
      <c r="S8" s="219">
        <f>IF(S4="Proy",modelo!F13/modelo!F$9,modelo!E13/modelo!E$9)</f>
        <v>1.4779362307716162</v>
      </c>
      <c r="T8" s="219">
        <f>modelo!G13/modelo!G$9</f>
        <v>1.7326056927623337</v>
      </c>
      <c r="U8" s="136"/>
      <c r="V8" s="136"/>
      <c r="W8" s="136"/>
      <c r="X8" s="136"/>
      <c r="Y8" s="136"/>
      <c r="Z8" s="136"/>
    </row>
    <row r="9" spans="1:38" ht="15" customHeight="1" x14ac:dyDescent="0.25">
      <c r="A9" s="136"/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73"/>
      <c r="P9" s="202"/>
      <c r="Q9" s="202"/>
      <c r="R9" s="202"/>
      <c r="S9" s="202"/>
      <c r="T9" s="202"/>
      <c r="U9" s="136"/>
      <c r="V9" s="136"/>
      <c r="W9" s="136"/>
      <c r="X9" s="136"/>
      <c r="Y9" s="136"/>
      <c r="Z9" s="136"/>
      <c r="AG9" s="140" t="s">
        <v>431</v>
      </c>
      <c r="AH9" s="275">
        <f>modelo!C19</f>
        <v>1.7514714481491778E-2</v>
      </c>
      <c r="AI9" s="275">
        <f>modelo!D19</f>
        <v>-0.22655403771956628</v>
      </c>
      <c r="AJ9" s="275">
        <f>IF(AJ4="Proy",modelo!F19,modelo!E19)</f>
        <v>-3.939845746043491E-2</v>
      </c>
      <c r="AK9" s="275">
        <f>modelo!G19</f>
        <v>8.9139517463931561E-2</v>
      </c>
    </row>
    <row r="10" spans="1:38" ht="15" customHeight="1" x14ac:dyDescent="0.25">
      <c r="A10" s="136"/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222" t="s">
        <v>383</v>
      </c>
      <c r="P10" s="223">
        <f>modelo!B28</f>
        <v>0</v>
      </c>
      <c r="Q10" s="223">
        <f>modelo!C28</f>
        <v>0</v>
      </c>
      <c r="R10" s="223">
        <f>modelo!D28</f>
        <v>0</v>
      </c>
      <c r="S10" s="223">
        <f>IF(S4="Proy",modelo!F28,modelo!E28)</f>
        <v>0</v>
      </c>
      <c r="T10" s="223">
        <f>modelo!G28</f>
        <v>0</v>
      </c>
      <c r="U10" s="136"/>
      <c r="V10" s="136"/>
      <c r="W10" s="136"/>
      <c r="X10" s="136"/>
      <c r="Y10" s="136"/>
      <c r="Z10" s="136"/>
      <c r="AG10" s="140" t="s">
        <v>432</v>
      </c>
      <c r="AH10" s="275">
        <f>modelo!C20</f>
        <v>0.20396079038612402</v>
      </c>
      <c r="AI10" s="275">
        <f>modelo!D20</f>
        <v>-7.6229242862310365E-2</v>
      </c>
      <c r="AJ10" s="275">
        <f>IF(AJ4="Proy",modelo!F20,modelo!E20)</f>
        <v>0.11069132329509457</v>
      </c>
      <c r="AK10" s="275">
        <f>modelo!G20</f>
        <v>0.24420227339210365</v>
      </c>
    </row>
    <row r="11" spans="1:38" ht="15" customHeight="1" x14ac:dyDescent="0.25">
      <c r="A11" s="136"/>
      <c r="B11" s="136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208" t="s">
        <v>385</v>
      </c>
      <c r="P11" s="210">
        <f>modelo!B29</f>
        <v>0</v>
      </c>
      <c r="Q11" s="210">
        <f>modelo!C29</f>
        <v>0</v>
      </c>
      <c r="R11" s="210">
        <f>modelo!D29</f>
        <v>0</v>
      </c>
      <c r="S11" s="210">
        <f>IF(S4="Proy",modelo!F29,modelo!E29)</f>
        <v>0</v>
      </c>
      <c r="T11" s="210">
        <f>modelo!G29</f>
        <v>0</v>
      </c>
      <c r="U11" s="136"/>
      <c r="V11" s="136"/>
      <c r="W11" s="136"/>
      <c r="X11" s="136"/>
      <c r="Y11" s="136"/>
      <c r="Z11" s="136"/>
    </row>
    <row r="12" spans="1:38" ht="15" customHeigh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220" t="s">
        <v>384</v>
      </c>
      <c r="P12" s="221">
        <f>modelo!B30</f>
        <v>0.91040307419485833</v>
      </c>
      <c r="Q12" s="221">
        <f>modelo!C30</f>
        <v>0.64336913110848215</v>
      </c>
      <c r="R12" s="221">
        <f>modelo!D30</f>
        <v>0.59707693301435416</v>
      </c>
      <c r="S12" s="221">
        <f>IF(S4="Proy",modelo!F30,modelo!E30)</f>
        <v>0.38607753606576162</v>
      </c>
      <c r="T12" s="221">
        <f>modelo!G30</f>
        <v>0.64145813449847555</v>
      </c>
      <c r="U12" s="136"/>
      <c r="V12" s="136"/>
      <c r="W12" s="136"/>
      <c r="X12" s="136"/>
      <c r="Y12" s="136"/>
      <c r="Z12" s="136"/>
      <c r="AG12" s="140" t="s">
        <v>355</v>
      </c>
      <c r="AH12" s="151">
        <f>IF(AND(AK9&lt;&gt;0,AK10&lt;&gt;0),AK9-AK10,AJ9-AJ10)</f>
        <v>-0.15506275592817209</v>
      </c>
      <c r="AI12" s="2" t="str">
        <f>AG12&amp;" = "&amp;FIXED(AH12,3)*100&amp;"%"</f>
        <v>∆ = -15,5%</v>
      </c>
    </row>
    <row r="13" spans="1:38" ht="15" customHeight="1" x14ac:dyDescent="0.25">
      <c r="A13" s="136"/>
      <c r="B13" s="136"/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204" t="s">
        <v>386</v>
      </c>
      <c r="P13" s="211">
        <f>modelo!B31</f>
        <v>0.10295204863620963</v>
      </c>
      <c r="Q13" s="211">
        <f>modelo!C31</f>
        <v>0.13652271080645417</v>
      </c>
      <c r="R13" s="211">
        <f>modelo!D31</f>
        <v>0.10107141638708111</v>
      </c>
      <c r="S13" s="211">
        <f>IF(S4="Proy",modelo!F31,modelo!E31)</f>
        <v>0.10210231218103992</v>
      </c>
      <c r="T13" s="211">
        <f>modelo!G31</f>
        <v>0.10310631034585596</v>
      </c>
      <c r="U13" s="136"/>
      <c r="V13" s="136"/>
      <c r="W13" s="136"/>
      <c r="X13" s="136"/>
      <c r="Y13" s="136"/>
      <c r="Z13" s="136"/>
      <c r="AI13" t="str">
        <f>FIXED(AH12,3)</f>
        <v>-0,155</v>
      </c>
    </row>
    <row r="14" spans="1:38" ht="15" customHeight="1" x14ac:dyDescent="0.25">
      <c r="A14" s="136"/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G14" t="str">
        <f>IF(modelo!I3="Pesos Corrientes","($ Cte)","($ K)")</f>
        <v>($ K)</v>
      </c>
    </row>
    <row r="15" spans="1:38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8" t="s">
        <v>392</v>
      </c>
      <c r="P15" s="139"/>
      <c r="Q15" s="139"/>
      <c r="R15" s="139"/>
      <c r="S15" s="139"/>
      <c r="T15" s="139"/>
      <c r="U15" s="136"/>
      <c r="V15" s="136"/>
      <c r="W15" s="136"/>
      <c r="X15" s="136"/>
      <c r="Y15" s="136"/>
      <c r="Z15" s="136"/>
    </row>
    <row r="16" spans="1:38" x14ac:dyDescent="0.25">
      <c r="A16" s="136"/>
      <c r="B16" s="136"/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H16" t="str">
        <f>modelo!B3</f>
        <v>2018  (Real)</v>
      </c>
      <c r="AI16" t="str">
        <f>modelo!C3</f>
        <v>2019  (Real)</v>
      </c>
      <c r="AJ16" t="str">
        <f>modelo!D3</f>
        <v>2020  (Real)</v>
      </c>
      <c r="AK16" t="str">
        <f>IF(AB1="Proy",modelo!F3,modelo!E3)</f>
        <v>2021  (Proy)</v>
      </c>
      <c r="AL16" t="str">
        <f>modelo!G3</f>
        <v>2022  (Ppto)</v>
      </c>
    </row>
    <row r="17" spans="1:39" x14ac:dyDescent="0.25">
      <c r="A17" s="136"/>
      <c r="B17" s="136"/>
      <c r="C17" s="136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14"/>
      <c r="P17" s="108">
        <f t="shared" ref="P17:Q17" si="0">P5</f>
        <v>2018</v>
      </c>
      <c r="Q17" s="108">
        <f t="shared" si="0"/>
        <v>2019</v>
      </c>
      <c r="R17" s="108">
        <f t="shared" ref="R17:T17" si="1">R5</f>
        <v>2020</v>
      </c>
      <c r="S17" s="108">
        <f t="shared" si="1"/>
        <v>2021</v>
      </c>
      <c r="T17" s="108">
        <f t="shared" si="1"/>
        <v>2022</v>
      </c>
      <c r="U17" s="136"/>
      <c r="V17" s="136"/>
      <c r="W17" s="136"/>
      <c r="X17" s="136"/>
      <c r="Y17" s="136"/>
      <c r="Z17" s="136"/>
      <c r="AG17" t="s">
        <v>433</v>
      </c>
      <c r="AH17" s="3">
        <f>modelo!B13</f>
        <v>611.83161809757712</v>
      </c>
      <c r="AI17" s="3">
        <f>modelo!C13</f>
        <v>250.46387941171952</v>
      </c>
      <c r="AJ17" s="3">
        <f>modelo!D13</f>
        <v>173.22085422000009</v>
      </c>
      <c r="AK17" s="3">
        <f>IF(AB1="Proy",modelo!F13,modelo!E13)</f>
        <v>288.19756500046515</v>
      </c>
      <c r="AL17" s="3">
        <f>modelo!G13</f>
        <v>356.91677270904074</v>
      </c>
      <c r="AM17" s="3"/>
    </row>
    <row r="18" spans="1:39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203" t="s">
        <v>387</v>
      </c>
      <c r="P18" s="206">
        <f>modelo!B38</f>
        <v>0</v>
      </c>
      <c r="Q18" s="206">
        <f>modelo!C38</f>
        <v>0</v>
      </c>
      <c r="R18" s="206">
        <f>modelo!D38</f>
        <v>0</v>
      </c>
      <c r="S18" s="206">
        <f>IF(S4="Proy",modelo!F38,modelo!E38)</f>
        <v>0</v>
      </c>
      <c r="T18" s="206">
        <f>modelo!G38</f>
        <v>0</v>
      </c>
      <c r="U18" s="136"/>
      <c r="V18" s="136"/>
      <c r="W18" s="136"/>
      <c r="X18" s="136"/>
      <c r="Y18" s="136"/>
      <c r="Z18" s="136"/>
      <c r="AG18" t="s">
        <v>213</v>
      </c>
      <c r="AH18" s="276">
        <f>modelo!B14</f>
        <v>0.23464335731746833</v>
      </c>
      <c r="AI18" s="276">
        <f>modelo!C14</f>
        <v>9.4401903641372548E-2</v>
      </c>
      <c r="AJ18" s="276">
        <f>modelo!D14</f>
        <v>8.5890780001440625E-2</v>
      </c>
      <c r="AK18" s="276">
        <f>IF(AB1="Proy",modelo!F14,modelo!E14)</f>
        <v>0.11505973641642447</v>
      </c>
      <c r="AL18" s="276">
        <f>modelo!G14</f>
        <v>0.1256781527873547</v>
      </c>
      <c r="AM18" s="276"/>
    </row>
    <row r="19" spans="1:39" x14ac:dyDescent="0.25">
      <c r="A19" s="136"/>
      <c r="B19" s="136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204" t="s">
        <v>388</v>
      </c>
      <c r="P19" s="205">
        <f>modelo!B39</f>
        <v>8.2748172083346269E-2</v>
      </c>
      <c r="Q19" s="205">
        <f>modelo!C39</f>
        <v>5.4318014531273759E-2</v>
      </c>
      <c r="R19" s="205">
        <f>modelo!D39</f>
        <v>6.1876102500676086E-2</v>
      </c>
      <c r="S19" s="205">
        <f>IF(S4="Proy",modelo!F39,modelo!E39)</f>
        <v>3.0056763350903754E-2</v>
      </c>
      <c r="T19" s="205">
        <f>modelo!G39</f>
        <v>4.6529498183548582E-2</v>
      </c>
      <c r="U19" s="136"/>
      <c r="V19" s="136"/>
      <c r="W19" s="136"/>
      <c r="X19" s="136"/>
      <c r="Y19" s="136"/>
      <c r="Z19" s="136"/>
    </row>
    <row r="20" spans="1:39" x14ac:dyDescent="0.25">
      <c r="A20" s="136"/>
      <c r="B20" s="136"/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73"/>
      <c r="P20" s="202"/>
      <c r="Q20" s="202"/>
      <c r="R20" s="202"/>
      <c r="S20" s="202"/>
      <c r="T20" s="202"/>
      <c r="U20" s="136"/>
      <c r="V20" s="136"/>
      <c r="W20" s="136"/>
      <c r="X20" s="136"/>
      <c r="Y20" s="136"/>
      <c r="Z20" s="136"/>
    </row>
    <row r="21" spans="1:39" x14ac:dyDescent="0.25">
      <c r="A21" s="136"/>
      <c r="B21" s="136"/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212" t="s">
        <v>379</v>
      </c>
      <c r="P21" s="213">
        <f>modelo!B55</f>
        <v>4.3730393672668406E-2</v>
      </c>
      <c r="Q21" s="213">
        <f>modelo!C55</f>
        <v>4.8165973459233707E-2</v>
      </c>
      <c r="R21" s="213">
        <f>modelo!D55</f>
        <v>3.7232539310724851E-2</v>
      </c>
      <c r="S21" s="213">
        <f>IF(S4="Proy",modelo!F55,modelo!E55)</f>
        <v>8.6757081050763782E-2</v>
      </c>
      <c r="T21" s="213">
        <f>modelo!G55</f>
        <v>7.4370248663833974E-2</v>
      </c>
      <c r="U21" s="136"/>
      <c r="V21" s="136"/>
      <c r="W21" s="136"/>
      <c r="X21" s="136"/>
      <c r="Y21" s="136"/>
      <c r="Z21" s="136"/>
    </row>
    <row r="22" spans="1:39" x14ac:dyDescent="0.25">
      <c r="A22" s="136"/>
      <c r="B22" s="136"/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204" t="s">
        <v>389</v>
      </c>
      <c r="P22" s="205">
        <f>modelo!B56+modelo!B57+modelo!B58</f>
        <v>0.72162624900986327</v>
      </c>
      <c r="Q22" s="205">
        <f>modelo!C56+modelo!C57+modelo!C58</f>
        <v>0.85743212289939374</v>
      </c>
      <c r="R22" s="205">
        <f>modelo!D56+modelo!D57+modelo!D58</f>
        <v>0.87687668068783453</v>
      </c>
      <c r="S22" s="205">
        <f>IF(S4="Proy",modelo!F56+modelo!F57+modelo!F58,modelo!E56+modelo!E57+modelo!E58)</f>
        <v>0.79818318253281173</v>
      </c>
      <c r="T22" s="205">
        <f>modelo!G56+modelo!G57+modelo!G58</f>
        <v>0.79995159854881137</v>
      </c>
      <c r="U22" s="136"/>
      <c r="V22" s="136"/>
      <c r="W22" s="136"/>
      <c r="X22" s="136"/>
      <c r="Y22" s="136"/>
      <c r="Z22" s="136"/>
    </row>
    <row r="23" spans="1:39" x14ac:dyDescent="0.25">
      <c r="A23" s="136"/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73"/>
      <c r="P23" s="202"/>
      <c r="Q23" s="202"/>
      <c r="R23" s="202"/>
      <c r="S23" s="202"/>
      <c r="T23" s="202"/>
      <c r="U23" s="136"/>
      <c r="V23" s="136"/>
      <c r="W23" s="136"/>
      <c r="X23" s="136"/>
      <c r="Y23" s="136"/>
      <c r="Z23" s="136"/>
    </row>
    <row r="24" spans="1:39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</row>
    <row r="25" spans="1:39" ht="6" customHeight="1" x14ac:dyDescent="0.25">
      <c r="A25" s="136"/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</row>
    <row r="26" spans="1:39" s="52" customFormat="1" x14ac:dyDescent="0.25">
      <c r="A26" s="186"/>
      <c r="B26" s="186"/>
      <c r="C26" s="185" t="s">
        <v>282</v>
      </c>
      <c r="D26" s="185" t="s">
        <v>282</v>
      </c>
      <c r="E26" s="185" t="s">
        <v>282</v>
      </c>
      <c r="F26" s="185" t="str">
        <f>AB1</f>
        <v>Proy</v>
      </c>
      <c r="G26" s="185" t="s">
        <v>283</v>
      </c>
      <c r="H26" s="186"/>
      <c r="I26" s="185" t="s">
        <v>285</v>
      </c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G26"/>
      <c r="AH26"/>
      <c r="AI26"/>
      <c r="AJ26"/>
      <c r="AK26"/>
      <c r="AL26"/>
    </row>
    <row r="27" spans="1:39" s="181" customFormat="1" x14ac:dyDescent="0.25">
      <c r="A27" s="180"/>
      <c r="B27" s="182" t="s">
        <v>268</v>
      </c>
      <c r="C27" s="183">
        <f>modelo!J4</f>
        <v>2018</v>
      </c>
      <c r="D27" s="184">
        <f>modelo!K4</f>
        <v>2019</v>
      </c>
      <c r="E27" s="184">
        <f>modelo!L4</f>
        <v>2020</v>
      </c>
      <c r="F27" s="184">
        <f>modelo!M4</f>
        <v>2021</v>
      </c>
      <c r="G27" s="184">
        <f>modelo!O4</f>
        <v>2022</v>
      </c>
      <c r="H27" s="180"/>
      <c r="I27" s="185" t="s">
        <v>390</v>
      </c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G27"/>
      <c r="AH27"/>
      <c r="AI27"/>
      <c r="AJ27"/>
      <c r="AK27"/>
      <c r="AL27" s="52"/>
    </row>
    <row r="28" spans="1:39" s="181" customFormat="1" x14ac:dyDescent="0.25">
      <c r="A28" s="180"/>
      <c r="B28" s="175" t="s">
        <v>371</v>
      </c>
      <c r="C28" s="176"/>
      <c r="D28" s="177"/>
      <c r="E28" s="177"/>
      <c r="F28" s="177"/>
      <c r="G28" s="177"/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  <c r="AG28"/>
      <c r="AH28"/>
      <c r="AI28"/>
      <c r="AJ28"/>
      <c r="AK28"/>
    </row>
    <row r="29" spans="1:39" s="181" customFormat="1" x14ac:dyDescent="0.25">
      <c r="A29" s="180"/>
      <c r="B29" s="174" t="s">
        <v>372</v>
      </c>
      <c r="C29" s="178"/>
      <c r="D29" s="179"/>
      <c r="E29" s="179"/>
      <c r="F29" s="179"/>
      <c r="G29" s="179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G29"/>
      <c r="AH29"/>
      <c r="AI29"/>
      <c r="AJ29"/>
      <c r="AK29"/>
    </row>
    <row r="30" spans="1:39" s="181" customFormat="1" ht="12" x14ac:dyDescent="0.2">
      <c r="A30" s="180"/>
      <c r="B30" s="187" t="s">
        <v>373</v>
      </c>
      <c r="C30" s="188">
        <f>SUM(C28:C29)</f>
        <v>0</v>
      </c>
      <c r="D30" s="189">
        <f t="shared" ref="D30:E30" si="2">SUM(D28:D29)</f>
        <v>0</v>
      </c>
      <c r="E30" s="189">
        <f t="shared" si="2"/>
        <v>0</v>
      </c>
      <c r="F30" s="189">
        <f t="shared" ref="F30:G30" si="3">SUM(F28:F29)</f>
        <v>0</v>
      </c>
      <c r="G30" s="189">
        <f t="shared" si="3"/>
        <v>0</v>
      </c>
      <c r="H30" s="180"/>
      <c r="I30" s="214">
        <f>G30-C30</f>
        <v>0</v>
      </c>
      <c r="J30" s="216">
        <f>IFERROR(I30/C30,0)</f>
        <v>0</v>
      </c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G30" s="52"/>
      <c r="AH30" s="52"/>
      <c r="AI30" s="52"/>
      <c r="AJ30" s="52"/>
      <c r="AK30" s="52"/>
    </row>
    <row r="31" spans="1:39" ht="6" customHeight="1" x14ac:dyDescent="0.25">
      <c r="A31" s="136"/>
      <c r="B31" s="136"/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G31" s="181"/>
      <c r="AH31" s="181"/>
      <c r="AI31" s="181"/>
      <c r="AJ31" s="181"/>
      <c r="AK31" s="181"/>
      <c r="AL31" s="181"/>
    </row>
    <row r="32" spans="1:39" s="181" customFormat="1" x14ac:dyDescent="0.25">
      <c r="A32" s="180"/>
      <c r="B32" s="182" t="s">
        <v>354</v>
      </c>
      <c r="C32" s="183">
        <f t="shared" ref="C32:F32" si="4">C27</f>
        <v>2018</v>
      </c>
      <c r="D32" s="184">
        <f t="shared" si="4"/>
        <v>2019</v>
      </c>
      <c r="E32" s="184">
        <f t="shared" si="4"/>
        <v>2020</v>
      </c>
      <c r="F32" s="184">
        <f t="shared" si="4"/>
        <v>2021</v>
      </c>
      <c r="G32" s="184">
        <f>G27</f>
        <v>2022</v>
      </c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L32"/>
    </row>
    <row r="33" spans="1:38" s="181" customFormat="1" ht="12" x14ac:dyDescent="0.2">
      <c r="A33" s="180"/>
      <c r="B33" s="175" t="s">
        <v>371</v>
      </c>
      <c r="C33" s="176">
        <f>IFERROR(GETPIVOTDATA("[Measures].[Suma de real_nuevos 2]",p_postgrado!$K$8,"[poblacion_postgrado].[ano]","[poblacion_postgrado].[ano].&amp;["&amp;C$27&amp;"]","[poblacion_postgrado].[semestre]","[poblacion_postgrado].[semestre].&amp;[1]"),0)+IFERROR(GETPIVOTDATA("[Measures].[Suma de real_nuevos 2]",p_postgrado!$K$8,"[poblacion_postgrado].[ano]","[poblacion_postgrado].[ano].&amp;["&amp;C$27&amp;"]","[poblacion_postgrado].[semestre]","[poblacion_postgrado].[semestre].&amp;[2]"),0)</f>
        <v>70</v>
      </c>
      <c r="D33" s="177">
        <f>IFERROR(GETPIVOTDATA("[Measures].[Suma de real_nuevos 2]",p_postgrado!$K$8,"[poblacion_postgrado].[ano]","[poblacion_postgrado].[ano].&amp;["&amp;D$27&amp;"]","[poblacion_postgrado].[semestre]","[poblacion_postgrado].[semestre].&amp;[1]"),0)+IFERROR(GETPIVOTDATA("[Measures].[Suma de real_nuevos 2]",p_postgrado!$K$8,"[poblacion_postgrado].[ano]","[poblacion_postgrado].[ano].&amp;["&amp;D$27&amp;"]","[poblacion_postgrado].[semestre]","[poblacion_postgrado].[semestre].&amp;[2]"),0)</f>
        <v>62</v>
      </c>
      <c r="E33" s="177">
        <f>IFERROR(GETPIVOTDATA("[Measures].[Suma de real_nuevos 2]",p_postgrado!$K$8,"[poblacion_postgrado].[ano]","[poblacion_postgrado].[ano].&amp;["&amp;E$27&amp;"]","[poblacion_postgrado].[semestre]","[poblacion_postgrado].[semestre].&amp;[1]"),0)+IFERROR(GETPIVOTDATA("[Measures].[Suma de real_nuevos 2]",p_postgrado!$K$8,"[poblacion_postgrado].[ano]","[poblacion_postgrado].[ano].&amp;["&amp;E$27&amp;"]","[poblacion_postgrado].[semestre]","[poblacion_postgrado].[semestre].&amp;[2]"),0)</f>
        <v>49</v>
      </c>
      <c r="F33" s="177">
        <f>poblacion!D18</f>
        <v>55</v>
      </c>
      <c r="G33" s="177">
        <f>poblacion!H18</f>
        <v>64</v>
      </c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</row>
    <row r="34" spans="1:38" s="181" customFormat="1" ht="12" x14ac:dyDescent="0.2">
      <c r="A34" s="180"/>
      <c r="B34" s="174" t="s">
        <v>372</v>
      </c>
      <c r="C34" s="178">
        <f>IFERROR(GETPIVOTDATA("[Measures].[Suma de real_antiguos 2]",p_postgrado!$U$8,"[poblacion_postgrado].[ano]","[poblacion_postgrado].[ano].&amp;["&amp;C$27&amp;"]","[poblacion_postgrado].[semestre]","[poblacion_postgrado].[semestre].&amp;[1]"),0)+IFERROR(GETPIVOTDATA("[Measures].[Suma de real_antiguos 2]",p_postgrado!$U$8,"[poblacion_postgrado].[ano]","[poblacion_postgrado].[ano].&amp;["&amp;C$27&amp;"]","[poblacion_postgrado].[semestre]","[poblacion_postgrado].[semestre].&amp;[2]"),0)</f>
        <v>167</v>
      </c>
      <c r="D34" s="179">
        <f>IFERROR(GETPIVOTDATA("[Measures].[Suma de real_antiguos 2]",p_postgrado!$U$8,"[poblacion_postgrado].[ano]","[poblacion_postgrado].[ano].&amp;["&amp;D$27&amp;"]","[poblacion_postgrado].[semestre]","[poblacion_postgrado].[semestre].&amp;[1]"),0)+IFERROR(GETPIVOTDATA("[Measures].[Suma de real_antiguos 2]",p_postgrado!$U$8,"[poblacion_postgrado].[ano]","[poblacion_postgrado].[ano].&amp;["&amp;D$27&amp;"]","[poblacion_postgrado].[semestre]","[poblacion_postgrado].[semestre].&amp;[2]"),0)</f>
        <v>162</v>
      </c>
      <c r="E34" s="179">
        <f>IFERROR(GETPIVOTDATA("[Measures].[Suma de real_antiguos 2]",p_postgrado!$U$8,"[poblacion_postgrado].[ano]","[poblacion_postgrado].[ano].&amp;["&amp;E$27&amp;"]","[poblacion_postgrado].[semestre]","[poblacion_postgrado].[semestre].&amp;[1]"),0)+IFERROR(GETPIVOTDATA("[Measures].[Suma de real_antiguos 2]",p_postgrado!$U$8,"[poblacion_postgrado].[ano]","[poblacion_postgrado].[ano].&amp;["&amp;E$27&amp;"]","[poblacion_postgrado].[semestre]","[poblacion_postgrado].[semestre].&amp;[2]"),0)</f>
        <v>160</v>
      </c>
      <c r="F34" s="179">
        <f>poblacion!D19</f>
        <v>140</v>
      </c>
      <c r="G34" s="179">
        <f>poblacion!H19</f>
        <v>142</v>
      </c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</row>
    <row r="35" spans="1:38" s="181" customFormat="1" x14ac:dyDescent="0.25">
      <c r="A35" s="180"/>
      <c r="B35" s="190" t="s">
        <v>373</v>
      </c>
      <c r="C35" s="191">
        <f>SUM(C33:C34)</f>
        <v>237</v>
      </c>
      <c r="D35" s="192">
        <f t="shared" ref="D35" si="5">SUM(D33:D34)</f>
        <v>224</v>
      </c>
      <c r="E35" s="192">
        <f t="shared" ref="E35" si="6">SUM(E33:E34)</f>
        <v>209</v>
      </c>
      <c r="F35" s="192">
        <f t="shared" ref="F35:G35" si="7">SUM(F33:F34)</f>
        <v>195</v>
      </c>
      <c r="G35" s="192">
        <f t="shared" si="7"/>
        <v>206</v>
      </c>
      <c r="H35" s="180"/>
      <c r="I35" s="215">
        <f>G35-C35</f>
        <v>-31</v>
      </c>
      <c r="J35" s="217">
        <f>+I35/C35</f>
        <v>-0.13080168776371309</v>
      </c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G35"/>
      <c r="AH35"/>
      <c r="AI35"/>
      <c r="AJ35"/>
      <c r="AK35"/>
    </row>
    <row r="36" spans="1:38" x14ac:dyDescent="0.25">
      <c r="A36" s="136"/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G36" s="181"/>
      <c r="AH36" s="181"/>
      <c r="AI36" s="181"/>
      <c r="AJ36" s="181"/>
      <c r="AK36" s="181"/>
      <c r="AL36" s="181"/>
    </row>
    <row r="37" spans="1:38" x14ac:dyDescent="0.25">
      <c r="A37" s="136"/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G37" s="181"/>
      <c r="AH37" s="181"/>
      <c r="AI37" s="181"/>
      <c r="AJ37" s="181"/>
      <c r="AK37" s="181"/>
    </row>
    <row r="38" spans="1:38" x14ac:dyDescent="0.25">
      <c r="A38" s="136"/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G38" s="181"/>
      <c r="AH38" s="181"/>
      <c r="AI38" s="181"/>
      <c r="AJ38" s="181"/>
      <c r="AK38" s="181"/>
    </row>
    <row r="39" spans="1:38" x14ac:dyDescent="0.25">
      <c r="A39" s="136"/>
      <c r="B39" s="136"/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G39" s="181"/>
      <c r="AH39" s="181"/>
      <c r="AI39" s="181"/>
      <c r="AJ39" s="181"/>
      <c r="AK39" s="181"/>
    </row>
    <row r="40" spans="1:38" x14ac:dyDescent="0.25">
      <c r="A40" s="136"/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</row>
    <row r="41" spans="1:38" x14ac:dyDescent="0.25">
      <c r="A41" s="136"/>
      <c r="B41" s="136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</row>
    <row r="42" spans="1:38" x14ac:dyDescent="0.25">
      <c r="A42" s="136"/>
      <c r="B42" s="136"/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</row>
    <row r="43" spans="1:38" x14ac:dyDescent="0.25">
      <c r="A43" s="136"/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</row>
    <row r="44" spans="1:38" x14ac:dyDescent="0.25">
      <c r="A44" s="136"/>
      <c r="B44" s="136"/>
      <c r="C44" s="136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</row>
  </sheetData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5FE8963-8271-4D17-8B91-79917CDCA23F}">
          <x14:formula1>
            <xm:f>variables!$O$1:$O$2</xm:f>
          </x14:formula1>
          <xm:sqref>AB1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51BA8-3449-4A76-B83D-DB375887B9AD}">
  <dimension ref="A1:D25"/>
  <sheetViews>
    <sheetView workbookViewId="0">
      <selection activeCell="G3" sqref="G3:K7"/>
    </sheetView>
  </sheetViews>
  <sheetFormatPr baseColWidth="10" defaultRowHeight="15" x14ac:dyDescent="0.25"/>
  <cols>
    <col min="2" max="2" width="33.85546875" bestFit="1" customWidth="1"/>
    <col min="3" max="3" width="15.7109375" bestFit="1" customWidth="1"/>
  </cols>
  <sheetData>
    <row r="1" spans="1:4" ht="15.75" thickBot="1" x14ac:dyDescent="0.3"/>
    <row r="2" spans="1:4" ht="15.75" thickBot="1" x14ac:dyDescent="0.3">
      <c r="A2" s="381" t="s">
        <v>1026</v>
      </c>
      <c r="B2" s="382" t="s">
        <v>1027</v>
      </c>
      <c r="C2" s="382" t="s">
        <v>1028</v>
      </c>
      <c r="D2" s="382" t="s">
        <v>1029</v>
      </c>
    </row>
    <row r="3" spans="1:4" ht="15.75" thickBot="1" x14ac:dyDescent="0.3">
      <c r="A3" s="383">
        <v>281</v>
      </c>
      <c r="B3" s="384" t="s">
        <v>1030</v>
      </c>
      <c r="C3" s="385" t="s">
        <v>1031</v>
      </c>
      <c r="D3" s="386">
        <v>4</v>
      </c>
    </row>
    <row r="4" spans="1:4" ht="15.75" thickBot="1" x14ac:dyDescent="0.3">
      <c r="A4" s="383">
        <v>33</v>
      </c>
      <c r="B4" s="384" t="s">
        <v>902</v>
      </c>
      <c r="C4" s="385" t="s">
        <v>1032</v>
      </c>
      <c r="D4" s="386">
        <v>5</v>
      </c>
    </row>
    <row r="5" spans="1:4" ht="15.75" thickBot="1" x14ac:dyDescent="0.3">
      <c r="A5" s="383">
        <v>716</v>
      </c>
      <c r="B5" s="385" t="s">
        <v>903</v>
      </c>
      <c r="C5" s="385" t="s">
        <v>1026</v>
      </c>
      <c r="D5" s="386">
        <v>6</v>
      </c>
    </row>
    <row r="6" spans="1:4" ht="15.75" thickBot="1" x14ac:dyDescent="0.3">
      <c r="A6" s="383">
        <v>717</v>
      </c>
      <c r="B6" s="385" t="s">
        <v>904</v>
      </c>
      <c r="C6" s="385" t="s">
        <v>1026</v>
      </c>
      <c r="D6" s="386">
        <v>6</v>
      </c>
    </row>
    <row r="7" spans="1:4" ht="15.75" thickBot="1" x14ac:dyDescent="0.3">
      <c r="A7" s="383">
        <v>718</v>
      </c>
      <c r="B7" s="385" t="s">
        <v>905</v>
      </c>
      <c r="C7" s="385" t="s">
        <v>1026</v>
      </c>
      <c r="D7" s="386">
        <v>6</v>
      </c>
    </row>
    <row r="8" spans="1:4" ht="15.75" thickBot="1" x14ac:dyDescent="0.3">
      <c r="A8" s="383">
        <v>709</v>
      </c>
      <c r="B8" s="385" t="s">
        <v>906</v>
      </c>
      <c r="C8" s="385" t="s">
        <v>1026</v>
      </c>
      <c r="D8" s="386">
        <v>6</v>
      </c>
    </row>
    <row r="9" spans="1:4" ht="15.75" thickBot="1" x14ac:dyDescent="0.3">
      <c r="A9" s="383">
        <v>48</v>
      </c>
      <c r="B9" s="384" t="s">
        <v>887</v>
      </c>
      <c r="C9" s="385" t="s">
        <v>1032</v>
      </c>
      <c r="D9" s="386">
        <v>5</v>
      </c>
    </row>
    <row r="10" spans="1:4" ht="15.75" thickBot="1" x14ac:dyDescent="0.3">
      <c r="A10" s="383">
        <v>49</v>
      </c>
      <c r="B10" s="385" t="s">
        <v>440</v>
      </c>
      <c r="C10" s="385" t="s">
        <v>1026</v>
      </c>
      <c r="D10" s="386">
        <v>6</v>
      </c>
    </row>
    <row r="11" spans="1:4" ht="15.75" thickBot="1" x14ac:dyDescent="0.3">
      <c r="A11" s="383">
        <v>496</v>
      </c>
      <c r="B11" s="385" t="s">
        <v>441</v>
      </c>
      <c r="C11" s="385" t="s">
        <v>1026</v>
      </c>
      <c r="D11" s="386">
        <v>6</v>
      </c>
    </row>
    <row r="12" spans="1:4" ht="15.75" thickBot="1" x14ac:dyDescent="0.3">
      <c r="A12" s="383">
        <v>27</v>
      </c>
      <c r="B12" s="384" t="s">
        <v>894</v>
      </c>
      <c r="C12" s="385" t="s">
        <v>1032</v>
      </c>
      <c r="D12" s="386">
        <v>5</v>
      </c>
    </row>
    <row r="13" spans="1:4" ht="15.75" thickBot="1" x14ac:dyDescent="0.3">
      <c r="A13" s="383">
        <v>1248</v>
      </c>
      <c r="B13" s="385" t="s">
        <v>895</v>
      </c>
      <c r="C13" s="385" t="s">
        <v>1026</v>
      </c>
      <c r="D13" s="386">
        <v>6</v>
      </c>
    </row>
    <row r="14" spans="1:4" ht="15.75" thickBot="1" x14ac:dyDescent="0.3">
      <c r="A14" s="383">
        <v>443</v>
      </c>
      <c r="B14" s="385" t="s">
        <v>896</v>
      </c>
      <c r="C14" s="385" t="s">
        <v>1026</v>
      </c>
      <c r="D14" s="386">
        <v>6</v>
      </c>
    </row>
    <row r="15" spans="1:4" ht="15.75" thickBot="1" x14ac:dyDescent="0.3">
      <c r="A15" s="383">
        <v>444</v>
      </c>
      <c r="B15" s="385" t="s">
        <v>897</v>
      </c>
      <c r="C15" s="385" t="s">
        <v>1026</v>
      </c>
      <c r="D15" s="386">
        <v>6</v>
      </c>
    </row>
    <row r="16" spans="1:4" ht="15.75" thickBot="1" x14ac:dyDescent="0.3">
      <c r="A16" s="383">
        <v>504</v>
      </c>
      <c r="B16" s="385" t="s">
        <v>898</v>
      </c>
      <c r="C16" s="385" t="s">
        <v>1026</v>
      </c>
      <c r="D16" s="386">
        <v>6</v>
      </c>
    </row>
    <row r="17" spans="1:4" ht="15.75" thickBot="1" x14ac:dyDescent="0.3">
      <c r="A17" s="383">
        <v>922</v>
      </c>
      <c r="B17" s="384" t="s">
        <v>888</v>
      </c>
      <c r="C17" s="385" t="s">
        <v>1032</v>
      </c>
      <c r="D17" s="386">
        <v>5</v>
      </c>
    </row>
    <row r="18" spans="1:4" ht="15.75" thickBot="1" x14ac:dyDescent="0.3">
      <c r="A18" s="383">
        <v>748</v>
      </c>
      <c r="B18" s="385" t="s">
        <v>889</v>
      </c>
      <c r="C18" s="385" t="s">
        <v>1026</v>
      </c>
      <c r="D18" s="386">
        <v>6</v>
      </c>
    </row>
    <row r="19" spans="1:4" ht="15.75" thickBot="1" x14ac:dyDescent="0.3">
      <c r="A19" s="383">
        <v>1133</v>
      </c>
      <c r="B19" s="385" t="s">
        <v>890</v>
      </c>
      <c r="C19" s="385" t="s">
        <v>1026</v>
      </c>
      <c r="D19" s="386">
        <v>6</v>
      </c>
    </row>
    <row r="20" spans="1:4" ht="15.75" thickBot="1" x14ac:dyDescent="0.3">
      <c r="A20" s="383">
        <v>1053</v>
      </c>
      <c r="B20" s="385" t="s">
        <v>891</v>
      </c>
      <c r="C20" s="385" t="s">
        <v>1026</v>
      </c>
      <c r="D20" s="386">
        <v>6</v>
      </c>
    </row>
    <row r="21" spans="1:4" ht="15.75" thickBot="1" x14ac:dyDescent="0.3">
      <c r="A21" s="383">
        <v>101</v>
      </c>
      <c r="B21" s="385" t="s">
        <v>892</v>
      </c>
      <c r="C21" s="385" t="s">
        <v>1026</v>
      </c>
      <c r="D21" s="386">
        <v>6</v>
      </c>
    </row>
    <row r="22" spans="1:4" ht="15.75" thickBot="1" x14ac:dyDescent="0.3">
      <c r="A22" s="383">
        <v>660</v>
      </c>
      <c r="B22" s="385" t="s">
        <v>893</v>
      </c>
      <c r="C22" s="385" t="s">
        <v>1026</v>
      </c>
      <c r="D22" s="386">
        <v>6</v>
      </c>
    </row>
    <row r="23" spans="1:4" ht="15.75" thickBot="1" x14ac:dyDescent="0.3">
      <c r="A23" s="383">
        <v>582</v>
      </c>
      <c r="B23" s="384" t="s">
        <v>899</v>
      </c>
      <c r="C23" s="385" t="s">
        <v>1032</v>
      </c>
      <c r="D23" s="386">
        <v>5</v>
      </c>
    </row>
    <row r="24" spans="1:4" ht="15.75" thickBot="1" x14ac:dyDescent="0.3">
      <c r="A24" s="383">
        <v>115</v>
      </c>
      <c r="B24" s="385" t="s">
        <v>900</v>
      </c>
      <c r="C24" s="385" t="s">
        <v>1026</v>
      </c>
      <c r="D24" s="386">
        <v>6</v>
      </c>
    </row>
    <row r="25" spans="1:4" ht="15.75" thickBot="1" x14ac:dyDescent="0.3">
      <c r="A25" s="383">
        <v>486</v>
      </c>
      <c r="B25" s="385" t="s">
        <v>901</v>
      </c>
      <c r="C25" s="385" t="s">
        <v>1026</v>
      </c>
      <c r="D25" s="386">
        <v>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71D7A-7250-46A3-98B6-FDE00672DDEC}">
  <dimension ref="A2:F7"/>
  <sheetViews>
    <sheetView workbookViewId="0">
      <selection activeCell="D3" sqref="D3:D7"/>
    </sheetView>
  </sheetViews>
  <sheetFormatPr baseColWidth="10" defaultRowHeight="19.5" customHeight="1" x14ac:dyDescent="0.25"/>
  <cols>
    <col min="1" max="1" width="32.7109375" customWidth="1"/>
    <col min="3" max="3" width="33.85546875" customWidth="1"/>
  </cols>
  <sheetData>
    <row r="2" spans="1:6" ht="19.5" customHeight="1" x14ac:dyDescent="0.25">
      <c r="D2" s="390">
        <v>20.21</v>
      </c>
      <c r="E2" s="380" t="s">
        <v>1036</v>
      </c>
      <c r="F2" s="380" t="s">
        <v>1037</v>
      </c>
    </row>
    <row r="3" spans="1:6" ht="19.5" customHeight="1" x14ac:dyDescent="0.25">
      <c r="A3" s="387" t="s">
        <v>900</v>
      </c>
      <c r="B3" s="388" t="s">
        <v>1033</v>
      </c>
      <c r="C3" s="387" t="s">
        <v>903</v>
      </c>
      <c r="D3" s="389">
        <v>0.64</v>
      </c>
      <c r="E3" s="380"/>
      <c r="F3" s="380"/>
    </row>
    <row r="4" spans="1:6" ht="19.5" customHeight="1" x14ac:dyDescent="0.25">
      <c r="A4" s="387" t="s">
        <v>900</v>
      </c>
      <c r="B4" s="388" t="s">
        <v>438</v>
      </c>
      <c r="C4" s="387" t="s">
        <v>890</v>
      </c>
      <c r="D4" s="389">
        <v>0.15</v>
      </c>
      <c r="E4" s="380"/>
      <c r="F4" s="380"/>
    </row>
    <row r="5" spans="1:6" ht="19.5" customHeight="1" x14ac:dyDescent="0.25">
      <c r="A5" s="387" t="s">
        <v>900</v>
      </c>
      <c r="B5" s="387" t="s">
        <v>1035</v>
      </c>
      <c r="C5" s="387" t="s">
        <v>441</v>
      </c>
      <c r="D5" s="389">
        <v>0.12</v>
      </c>
      <c r="E5" s="380"/>
      <c r="F5" s="380"/>
    </row>
    <row r="6" spans="1:6" ht="19.5" customHeight="1" x14ac:dyDescent="0.25">
      <c r="A6" s="387" t="s">
        <v>900</v>
      </c>
      <c r="B6" s="388" t="s">
        <v>439</v>
      </c>
      <c r="C6" s="387" t="s">
        <v>889</v>
      </c>
      <c r="D6" s="389">
        <v>0.05</v>
      </c>
      <c r="E6" s="380"/>
      <c r="F6" s="380"/>
    </row>
    <row r="7" spans="1:6" ht="19.5" customHeight="1" x14ac:dyDescent="0.25">
      <c r="A7" s="387" t="s">
        <v>900</v>
      </c>
      <c r="B7" s="388" t="s">
        <v>1034</v>
      </c>
      <c r="C7" s="387" t="s">
        <v>440</v>
      </c>
      <c r="D7" s="389">
        <v>0.04</v>
      </c>
      <c r="E7" s="380"/>
      <c r="F7" s="380"/>
    </row>
  </sheetData>
  <autoFilter ref="A2:D7" xr:uid="{EE871D7A-7250-46A3-98B6-FDE00672DDEC}">
    <sortState xmlns:xlrd2="http://schemas.microsoft.com/office/spreadsheetml/2017/richdata2" ref="A3:D7">
      <sortCondition descending="1" ref="D2:D7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D9019-85E1-4103-A171-7EEB035C3F8E}">
  <sheetPr codeName="Hoja3"/>
  <dimension ref="A2:AI67"/>
  <sheetViews>
    <sheetView showGridLines="0" zoomScale="90" zoomScaleNormal="90" workbookViewId="0">
      <pane xSplit="9" ySplit="4" topLeftCell="L32" activePane="bottomRight" state="frozen"/>
      <selection pane="topRight"/>
      <selection pane="bottomLeft"/>
      <selection pane="bottomRight" activeCell="T40" sqref="T40:T41"/>
    </sheetView>
  </sheetViews>
  <sheetFormatPr baseColWidth="10" defaultRowHeight="15" outlineLevelRow="1" x14ac:dyDescent="0.25"/>
  <cols>
    <col min="1" max="1" width="11.42578125" customWidth="1"/>
    <col min="2" max="7" width="6.7109375" customWidth="1"/>
    <col min="8" max="8" width="1.7109375" customWidth="1"/>
    <col min="9" max="9" width="29.42578125" customWidth="1"/>
    <col min="14" max="16" width="11.42578125" customWidth="1"/>
    <col min="17" max="18" width="2.7109375" customWidth="1"/>
    <col min="19" max="19" width="20.85546875" customWidth="1"/>
    <col min="20" max="20" width="14.140625" customWidth="1"/>
    <col min="21" max="21" width="0.5703125" customWidth="1"/>
    <col min="22" max="22" width="3.7109375" customWidth="1"/>
    <col min="23" max="23" width="11.42578125" customWidth="1"/>
    <col min="24" max="24" width="2.7109375" customWidth="1"/>
    <col min="25" max="25" width="20.85546875" customWidth="1"/>
    <col min="26" max="26" width="11.42578125" customWidth="1"/>
    <col min="27" max="27" width="0.28515625" customWidth="1"/>
    <col min="28" max="28" width="3.7109375" customWidth="1"/>
    <col min="29" max="29" width="2.7109375" customWidth="1"/>
    <col min="31" max="31" width="9" bestFit="1" customWidth="1"/>
    <col min="32" max="32" width="9.28515625" bestFit="1" customWidth="1"/>
    <col min="33" max="33" width="9" bestFit="1" customWidth="1"/>
    <col min="34" max="34" width="1.7109375" customWidth="1"/>
  </cols>
  <sheetData>
    <row r="2" spans="1:33" x14ac:dyDescent="0.25">
      <c r="A2" s="18" t="s">
        <v>252</v>
      </c>
      <c r="B2" s="19"/>
      <c r="C2" s="19"/>
      <c r="D2" s="19"/>
      <c r="E2" s="19"/>
      <c r="F2" s="20"/>
      <c r="G2" s="20"/>
      <c r="I2" s="65" t="str">
        <f>VLOOKUP(base!B1,unidades[],2,0)</f>
        <v>INSTITUTO DE LA FAMILIA</v>
      </c>
      <c r="J2" s="66"/>
      <c r="K2" s="66"/>
      <c r="L2" s="66"/>
      <c r="M2" s="66"/>
      <c r="N2" s="67"/>
      <c r="O2" s="67"/>
      <c r="P2" s="68"/>
      <c r="T2" s="3">
        <v>1026.69900605098</v>
      </c>
      <c r="AD2" s="18" t="str">
        <f>"Variación Acumulada ($"&amp;IF(I3="Pesos Constantes","Constantes","Corrientes")&amp;")"</f>
        <v>Variación Acumulada ($Constantes)</v>
      </c>
      <c r="AE2" s="66"/>
      <c r="AF2" s="66"/>
      <c r="AG2" s="68"/>
    </row>
    <row r="3" spans="1:33" ht="15" customHeight="1" x14ac:dyDescent="0.25">
      <c r="B3" s="483" t="str">
        <f t="shared" ref="B3:G3" si="0">J4&amp;"  ("&amp;J3&amp;")"</f>
        <v>2018  (Real)</v>
      </c>
      <c r="C3" s="483" t="str">
        <f t="shared" si="0"/>
        <v>2019  (Real)</v>
      </c>
      <c r="D3" s="483" t="str">
        <f t="shared" si="0"/>
        <v>2020  (Real)</v>
      </c>
      <c r="E3" s="483" t="str">
        <f t="shared" si="0"/>
        <v>2021  (Ppto)</v>
      </c>
      <c r="F3" s="483" t="str">
        <f t="shared" si="0"/>
        <v>2021  (Proy)</v>
      </c>
      <c r="G3" s="483" t="str">
        <f t="shared" si="0"/>
        <v>2022  (Ppto)</v>
      </c>
      <c r="I3" s="134" t="s">
        <v>335</v>
      </c>
      <c r="J3" s="69" t="s">
        <v>282</v>
      </c>
      <c r="K3" s="69" t="s">
        <v>282</v>
      </c>
      <c r="L3" s="69" t="s">
        <v>282</v>
      </c>
      <c r="M3" s="69" t="s">
        <v>283</v>
      </c>
      <c r="N3" s="69" t="s">
        <v>284</v>
      </c>
      <c r="O3" s="69" t="s">
        <v>283</v>
      </c>
      <c r="P3" s="69" t="s">
        <v>285</v>
      </c>
    </row>
    <row r="4" spans="1:33" x14ac:dyDescent="0.25">
      <c r="B4" s="484"/>
      <c r="C4" s="484"/>
      <c r="D4" s="484"/>
      <c r="E4" s="484"/>
      <c r="F4" s="484"/>
      <c r="G4" s="484"/>
      <c r="J4" s="70">
        <v>2018</v>
      </c>
      <c r="K4" s="70">
        <f t="shared" ref="K4:L4" si="1">J4+1</f>
        <v>2019</v>
      </c>
      <c r="L4" s="70">
        <f t="shared" si="1"/>
        <v>2020</v>
      </c>
      <c r="M4" s="70">
        <f>L4+1</f>
        <v>2021</v>
      </c>
      <c r="N4" s="70">
        <f>M4</f>
        <v>2021</v>
      </c>
      <c r="O4" s="70">
        <f>N4+1</f>
        <v>2022</v>
      </c>
      <c r="P4" s="107" t="str">
        <f>"("&amp;N4&amp;"-"&amp;M4&amp;")"</f>
        <v>(2021-2021)</v>
      </c>
      <c r="AE4" s="154" t="str">
        <f>K4&amp;" / "&amp;$J$4</f>
        <v>2019 / 2018</v>
      </c>
      <c r="AF4" s="154" t="str">
        <f>L4&amp;" / "&amp;$J$4</f>
        <v>2020 / 2018</v>
      </c>
      <c r="AG4" s="154" t="str">
        <f>M4&amp;" / "&amp;$J$4</f>
        <v>2021 / 2018</v>
      </c>
    </row>
    <row r="5" spans="1:33" ht="1.5" customHeight="1" thickBot="1" x14ac:dyDescent="0.3">
      <c r="P5" t="s">
        <v>1025</v>
      </c>
    </row>
    <row r="6" spans="1:33" x14ac:dyDescent="0.25">
      <c r="I6" s="71" t="s">
        <v>286</v>
      </c>
      <c r="J6" s="72">
        <f>'A-3'!$N$13*IF($I$3="Pesos Corrientes",1,(1+SUMIF(ipc[ano],J$4,ipc[ipc_acumulado])))</f>
        <v>0</v>
      </c>
      <c r="K6" s="72">
        <f>'A-2'!$N$13*IF($I$3="Pesos Corrientes",1,(1+SUMIF(ipc[ano],K$4,ipc[ipc_acumulado])))</f>
        <v>0</v>
      </c>
      <c r="L6" s="72">
        <f>'A-1'!$N$13*IF($I$3="Pesos Corrientes",1,(1+SUMIF(ipc[ano],L$4,ipc[ipc_acumulado])))</f>
        <v>0</v>
      </c>
      <c r="M6" s="72">
        <f>'A-0'!$DK$13</f>
        <v>0</v>
      </c>
      <c r="N6" s="72">
        <f>'A-0'!$DL$13</f>
        <v>0</v>
      </c>
      <c r="O6" s="72">
        <f>'A-0'!$DM$13</f>
        <v>0</v>
      </c>
      <c r="P6" s="73">
        <f t="shared" ref="P6:P8" si="2">IFERROR(IF($P$5="py",N6/M6,O6/N6),0)</f>
        <v>0</v>
      </c>
      <c r="R6" s="485" t="s">
        <v>393</v>
      </c>
      <c r="S6" s="464" t="s">
        <v>394</v>
      </c>
      <c r="T6" s="488">
        <f>((V6/10)-10)/100</f>
        <v>0</v>
      </c>
      <c r="U6" s="226"/>
      <c r="V6" s="230">
        <v>100</v>
      </c>
      <c r="W6" s="471">
        <f>'A-0'!L13-('A-0'!L13/(1+T6))</f>
        <v>0</v>
      </c>
      <c r="Y6" s="464" t="s">
        <v>415</v>
      </c>
      <c r="Z6" s="466">
        <f>((AB6)-100)/100</f>
        <v>0.05</v>
      </c>
      <c r="AA6" s="260"/>
      <c r="AB6" s="261">
        <v>105</v>
      </c>
      <c r="AD6" s="21" t="s">
        <v>253</v>
      </c>
      <c r="AE6" s="155" t="e">
        <f t="shared" ref="AE6:AG7" si="3">C7/$B7-1</f>
        <v>#DIV/0!</v>
      </c>
      <c r="AF6" s="155" t="e">
        <f t="shared" si="3"/>
        <v>#DIV/0!</v>
      </c>
      <c r="AG6" s="155" t="e">
        <f t="shared" si="3"/>
        <v>#DIV/0!</v>
      </c>
    </row>
    <row r="7" spans="1:33" ht="15.75" thickBot="1" x14ac:dyDescent="0.3">
      <c r="A7" s="21" t="s">
        <v>253</v>
      </c>
      <c r="B7" s="22"/>
      <c r="C7" s="22"/>
      <c r="D7" s="22"/>
      <c r="E7" s="22"/>
      <c r="F7" s="22"/>
      <c r="G7" s="22"/>
      <c r="I7" s="74" t="s">
        <v>287</v>
      </c>
      <c r="J7" s="75">
        <f>'A-3'!$C$38*IF($I$3="Pesos Corrientes",1,(1+SUMIF(ipc[ano],J$4,ipc[ipc_acumulado])))</f>
        <v>0</v>
      </c>
      <c r="K7" s="75">
        <f>'A-2'!$C$38*IF($I$3="Pesos Corrientes",1,(1+SUMIF(ipc[ano],K$4,ipc[ipc_acumulado])))</f>
        <v>0</v>
      </c>
      <c r="L7" s="75">
        <f>'A-1'!$C$38*IF($I$3="Pesos Corrientes",1,(1+SUMIF(ipc[ano],L$4,ipc[ipc_acumulado])))</f>
        <v>0</v>
      </c>
      <c r="M7" s="75">
        <f>'A-0'!$C$38</f>
        <v>0</v>
      </c>
      <c r="N7" s="75">
        <f>'A-0'!$J$38</f>
        <v>0</v>
      </c>
      <c r="O7" s="75">
        <f>'A-0'!$L$38</f>
        <v>0</v>
      </c>
      <c r="P7" s="76">
        <f t="shared" si="2"/>
        <v>0</v>
      </c>
      <c r="R7" s="486"/>
      <c r="S7" s="468"/>
      <c r="T7" s="489"/>
      <c r="U7" s="227"/>
      <c r="V7" s="231"/>
      <c r="W7" s="472"/>
      <c r="Y7" s="465"/>
      <c r="Z7" s="467"/>
      <c r="AA7" s="264"/>
      <c r="AB7" s="264"/>
      <c r="AD7" s="23" t="s">
        <v>254</v>
      </c>
      <c r="AE7" s="156">
        <f t="shared" si="3"/>
        <v>-5.4852320675105481E-2</v>
      </c>
      <c r="AF7" s="156">
        <f t="shared" si="3"/>
        <v>-0.11814345991561181</v>
      </c>
      <c r="AG7" s="156">
        <f t="shared" si="3"/>
        <v>-0.18143459915611815</v>
      </c>
    </row>
    <row r="8" spans="1:33" x14ac:dyDescent="0.25">
      <c r="A8" s="23" t="s">
        <v>254</v>
      </c>
      <c r="B8" s="24">
        <f>IFERROR(GETPIVOTDATA("[Measures].[Suma de real 2]",p_postgrado!$A$8,"[poblacion_postgrado].[ano]","[poblacion_postgrado].[ano].&amp;["&amp;J4&amp;"]","[poblacion_postgrado].[semestre]","[poblacion_postgrado].[semestre].&amp;[1]"),0)+IFERROR(GETPIVOTDATA("[Measures].[Suma de real 2]",p_postgrado!$A$8,"[poblacion_postgrado].[ano]","[poblacion_postgrado].[ano].&amp;["&amp;J4&amp;"]","[poblacion_postgrado].[semestre]","[poblacion_postgrado].[semestre].&amp;[2]"),0)</f>
        <v>237</v>
      </c>
      <c r="C8" s="24">
        <f>IFERROR(GETPIVOTDATA("[Measures].[Suma de real 2]",p_postgrado!$A$8,"[poblacion_postgrado].[ano]","[poblacion_postgrado].[ano].&amp;["&amp;K4&amp;"]","[poblacion_postgrado].[semestre]","[poblacion_postgrado].[semestre].&amp;[1]"),0)+IFERROR(GETPIVOTDATA("[Measures].[Suma de real 2]",p_postgrado!$A$8,"[poblacion_postgrado].[ano]","[poblacion_postgrado].[ano].&amp;["&amp;K4&amp;"]","[poblacion_postgrado].[semestre]","[poblacion_postgrado].[semestre].&amp;[2]"),0)</f>
        <v>224</v>
      </c>
      <c r="D8" s="24">
        <f>IFERROR(GETPIVOTDATA("[Measures].[Suma de real 2]",p_postgrado!$A$8,"[poblacion_postgrado].[ano]","[poblacion_postgrado].[ano].&amp;["&amp;L4&amp;"]","[poblacion_postgrado].[semestre]","[poblacion_postgrado].[semestre].&amp;[1]"),0)+IFERROR(GETPIVOTDATA("[Measures].[Suma de real 2]",p_postgrado!$A$8,"[poblacion_postgrado].[ano]","[poblacion_postgrado].[ano].&amp;["&amp;L4&amp;"]","[poblacion_postgrado].[semestre]","[poblacion_postgrado].[semestre].&amp;[2]"),0)</f>
        <v>209</v>
      </c>
      <c r="E8" s="24">
        <f>IFERROR(GETPIVOTDATA("[Measures].[Suma de real 2]",p_postgrado!$A$8,"[poblacion_postgrado].[ano]","[poblacion_postgrado].[ano].&amp;["&amp;M4&amp;"]","[poblacion_postgrado].[semestre]","[poblacion_postgrado].[semestre].&amp;[1]"),0)+IFERROR(GETPIVOTDATA("[Measures].[Suma de real 2]",p_postgrado!$A$8,"[poblacion_postgrado].[ano]","[poblacion_postgrado].[ano].&amp;["&amp;M4&amp;"]","[poblacion_postgrado].[semestre]","[poblacion_postgrado].[semestre].&amp;[2]"),0)</f>
        <v>194</v>
      </c>
      <c r="F8" s="24">
        <f>poblacion!D20</f>
        <v>195</v>
      </c>
      <c r="G8" s="24">
        <f>poblacion!H20</f>
        <v>206</v>
      </c>
      <c r="I8" s="77" t="s">
        <v>288</v>
      </c>
      <c r="J8" s="78">
        <f t="shared" ref="J8:L8" si="4">SUM(J6:J7)</f>
        <v>0</v>
      </c>
      <c r="K8" s="78">
        <f t="shared" si="4"/>
        <v>0</v>
      </c>
      <c r="L8" s="78">
        <f t="shared" si="4"/>
        <v>0</v>
      </c>
      <c r="M8" s="78">
        <f t="shared" ref="M8" si="5">SUM(M6:M7)</f>
        <v>0</v>
      </c>
      <c r="N8" s="78">
        <f t="shared" ref="N8" si="6">SUM(N6:N7)</f>
        <v>0</v>
      </c>
      <c r="O8" s="78">
        <f t="shared" ref="O8" si="7">SUM(O6:O7)</f>
        <v>0</v>
      </c>
      <c r="P8" s="79">
        <f t="shared" si="2"/>
        <v>0</v>
      </c>
      <c r="R8" s="486"/>
      <c r="S8" s="490" t="s">
        <v>395</v>
      </c>
      <c r="T8" s="492">
        <f>((V8/10)-10)/100</f>
        <v>0</v>
      </c>
      <c r="U8" s="228"/>
      <c r="V8" s="232">
        <v>100</v>
      </c>
      <c r="W8" s="494">
        <f>O6*T8</f>
        <v>0</v>
      </c>
      <c r="Y8" s="464" t="s">
        <v>419</v>
      </c>
      <c r="Z8" s="466">
        <f>((AB8/2)-100)/100</f>
        <v>2.5000000000000001E-2</v>
      </c>
      <c r="AA8" s="260"/>
      <c r="AB8" s="261">
        <v>205</v>
      </c>
      <c r="AD8" s="157" t="s">
        <v>255</v>
      </c>
      <c r="AE8" s="158">
        <f>B9/$B9-1</f>
        <v>0</v>
      </c>
      <c r="AF8" s="158">
        <f>C9/$B9-1</f>
        <v>-5.4852320675105481E-2</v>
      </c>
      <c r="AG8" s="158">
        <f>D9/$B9-1</f>
        <v>-0.11814345991561181</v>
      </c>
    </row>
    <row r="9" spans="1:33" ht="15.75" thickBot="1" x14ac:dyDescent="0.3">
      <c r="A9" s="25" t="s">
        <v>255</v>
      </c>
      <c r="B9" s="26">
        <f t="shared" ref="B9:E9" si="8">SUM(B7:B8)</f>
        <v>237</v>
      </c>
      <c r="C9" s="26">
        <f t="shared" si="8"/>
        <v>224</v>
      </c>
      <c r="D9" s="26">
        <f t="shared" si="8"/>
        <v>209</v>
      </c>
      <c r="E9" s="26">
        <f t="shared" si="8"/>
        <v>194</v>
      </c>
      <c r="F9" s="26">
        <f t="shared" ref="F9:G9" si="9">SUM(F7:F8)</f>
        <v>195</v>
      </c>
      <c r="G9" s="26">
        <f t="shared" si="9"/>
        <v>206</v>
      </c>
      <c r="I9" s="80" t="s">
        <v>289</v>
      </c>
      <c r="J9" s="81">
        <f t="shared" ref="J9" si="10">IFERROR(J7/J6,0)</f>
        <v>0</v>
      </c>
      <c r="K9" s="81">
        <f t="shared" ref="K9:L9" si="11">IFERROR(K7/K6,0)</f>
        <v>0</v>
      </c>
      <c r="L9" s="81">
        <f t="shared" si="11"/>
        <v>0</v>
      </c>
      <c r="M9" s="81">
        <f t="shared" ref="M9" si="12">IFERROR(M7/M6,0)</f>
        <v>0</v>
      </c>
      <c r="N9" s="81">
        <f t="shared" ref="N9" si="13">IFERROR(N7/N6,0)</f>
        <v>0</v>
      </c>
      <c r="O9" s="81">
        <f t="shared" ref="O9" si="14">IFERROR(O7/O6,0)</f>
        <v>0</v>
      </c>
      <c r="P9" s="82"/>
      <c r="R9" s="487"/>
      <c r="S9" s="491"/>
      <c r="T9" s="493"/>
      <c r="U9" s="229"/>
      <c r="V9" s="233"/>
      <c r="W9" s="473"/>
      <c r="Y9" s="465"/>
      <c r="Z9" s="467"/>
      <c r="AA9" s="264"/>
      <c r="AB9" s="264"/>
    </row>
    <row r="10" spans="1:33" ht="1.5" customHeight="1" thickBot="1" x14ac:dyDescent="0.3">
      <c r="A10" s="2"/>
      <c r="B10" s="2"/>
      <c r="C10" s="2"/>
      <c r="D10" s="2"/>
      <c r="E10" s="2"/>
      <c r="F10" s="2"/>
      <c r="G10" s="2"/>
    </row>
    <row r="11" spans="1:33" x14ac:dyDescent="0.25">
      <c r="A11" s="44" t="s">
        <v>264</v>
      </c>
      <c r="B11" s="45">
        <f t="shared" ref="B11:G11" si="15">J29</f>
        <v>2607.496010508321</v>
      </c>
      <c r="C11" s="45">
        <f t="shared" si="15"/>
        <v>2653.1655586440029</v>
      </c>
      <c r="D11" s="45">
        <f t="shared" si="15"/>
        <v>2016.7572609900003</v>
      </c>
      <c r="E11" s="45">
        <f t="shared" si="15"/>
        <v>2989.7113790509798</v>
      </c>
      <c r="F11" s="45">
        <f t="shared" si="15"/>
        <v>2504.7646898600551</v>
      </c>
      <c r="G11" s="45">
        <f t="shared" si="15"/>
        <v>2839.9269466741594</v>
      </c>
      <c r="I11" s="71" t="s">
        <v>342</v>
      </c>
      <c r="J11" s="72">
        <f>'A-3'!$D$14*IF($I$3="Pesos Corrientes",1,(1+SUMIF(ipc[ano],J$4,ipc[ipc_acumulado])))</f>
        <v>240.52842242842323</v>
      </c>
      <c r="K11" s="72">
        <f>'A-2'!$D$14*IF($I$3="Pesos Corrientes",1,(1+SUMIF(ipc[ano],K$4,ipc[ipc_acumulado])))</f>
        <v>166.90037731379999</v>
      </c>
      <c r="L11" s="72">
        <f>'A-1'!$D$14*IF($I$3="Pesos Corrientes",1,(1+SUMIF(ipc[ano],L$4,ipc[ipc_acumulado])))</f>
        <v>138.81979200000001</v>
      </c>
      <c r="M11" s="72">
        <f>'A-0'!$O$14</f>
        <v>115.79718150000008</v>
      </c>
      <c r="N11" s="72">
        <f>'A-0'!$V$14</f>
        <v>83.845988862823518</v>
      </c>
      <c r="O11" s="72">
        <f>'A-0'!$X$14</f>
        <v>147.33114663527329</v>
      </c>
      <c r="P11" s="73">
        <f>IFERROR(IF($P$5="py",N11/M11,O11/N11),0)</f>
        <v>1.7571639220131907</v>
      </c>
      <c r="R11" s="485" t="s">
        <v>393</v>
      </c>
      <c r="S11" s="464" t="s">
        <v>404</v>
      </c>
      <c r="T11" s="488">
        <v>4.4999999999999998E-2</v>
      </c>
      <c r="U11" s="226"/>
      <c r="V11" s="230">
        <v>857</v>
      </c>
      <c r="W11" s="471">
        <f>'A-0'!X14-('A-0'!X14/(1+T11))</f>
        <v>6.3444034436242021</v>
      </c>
      <c r="AD11" s="159" t="s">
        <v>366</v>
      </c>
      <c r="AE11" s="160" t="e">
        <f t="shared" ref="AE11:AG11" si="16">K8/$J8-1</f>
        <v>#DIV/0!</v>
      </c>
      <c r="AF11" s="160" t="e">
        <f t="shared" si="16"/>
        <v>#DIV/0!</v>
      </c>
      <c r="AG11" s="160" t="e">
        <f t="shared" si="16"/>
        <v>#DIV/0!</v>
      </c>
    </row>
    <row r="12" spans="1:33" x14ac:dyDescent="0.25">
      <c r="A12" s="46" t="s">
        <v>265</v>
      </c>
      <c r="B12" s="47">
        <f t="shared" ref="B12:G12" si="17">J53</f>
        <v>1995.6643924107439</v>
      </c>
      <c r="C12" s="47">
        <f t="shared" si="17"/>
        <v>2402.7016792322834</v>
      </c>
      <c r="D12" s="47">
        <f t="shared" si="17"/>
        <v>1843.5364067700002</v>
      </c>
      <c r="E12" s="47">
        <f t="shared" si="17"/>
        <v>2725.2826908396883</v>
      </c>
      <c r="F12" s="47">
        <f t="shared" si="17"/>
        <v>2216.56712485959</v>
      </c>
      <c r="G12" s="47">
        <f t="shared" si="17"/>
        <v>2483.0101739651186</v>
      </c>
      <c r="I12" s="74" t="s">
        <v>343</v>
      </c>
      <c r="J12" s="75">
        <f>'A-3'!$D$38*IF($I$3="Pesos Corrientes",1,(1+SUMIF(ipc[ano],J$4,ipc[ipc_acumulado])))</f>
        <v>-24.762893844241802</v>
      </c>
      <c r="K12" s="75">
        <f>'A-2'!$D$38*IF($I$3="Pesos Corrientes",1,(1+SUMIF(ipc[ano],K$4,ipc[ipc_acumulado])))</f>
        <v>-22.785691945500002</v>
      </c>
      <c r="L12" s="75">
        <f>'A-1'!$D$38*IF($I$3="Pesos Corrientes",1,(1+SUMIF(ipc[ano],L$4,ipc[ipc_acumulado])))</f>
        <v>-14.030712999999992</v>
      </c>
      <c r="M12" s="75">
        <f>'A-0'!$O$38</f>
        <v>-11.969999999999999</v>
      </c>
      <c r="N12" s="75">
        <f>'A-0'!$V$38</f>
        <v>-8.5608693300000027</v>
      </c>
      <c r="O12" s="75">
        <f>'A-0'!$X$38</f>
        <v>-15.1907709285873</v>
      </c>
      <c r="P12" s="76">
        <f t="shared" ref="P12:P13" si="18">IFERROR(IF($P$5="py",N12/M12,O12/N12),0)</f>
        <v>1.7744425645365265</v>
      </c>
      <c r="R12" s="486"/>
      <c r="S12" s="468"/>
      <c r="T12" s="489"/>
      <c r="U12" s="227"/>
      <c r="V12" s="231"/>
      <c r="W12" s="472"/>
      <c r="AD12" s="21" t="s">
        <v>367</v>
      </c>
      <c r="AE12" s="161" t="e">
        <f t="shared" ref="AE12:AG13" si="19">K6/$J6-1</f>
        <v>#DIV/0!</v>
      </c>
      <c r="AF12" s="161" t="e">
        <f t="shared" si="19"/>
        <v>#DIV/0!</v>
      </c>
      <c r="AG12" s="161" t="e">
        <f t="shared" si="19"/>
        <v>#DIV/0!</v>
      </c>
    </row>
    <row r="13" spans="1:33" x14ac:dyDescent="0.25">
      <c r="A13" s="48" t="s">
        <v>266</v>
      </c>
      <c r="B13" s="49">
        <f t="shared" ref="B13:E13" si="20">B11-B12</f>
        <v>611.83161809757712</v>
      </c>
      <c r="C13" s="49">
        <f t="shared" si="20"/>
        <v>250.46387941171952</v>
      </c>
      <c r="D13" s="49">
        <f t="shared" si="20"/>
        <v>173.22085422000009</v>
      </c>
      <c r="E13" s="49">
        <f t="shared" si="20"/>
        <v>264.4286882112915</v>
      </c>
      <c r="F13" s="49">
        <f t="shared" ref="F13:G13" si="21">F11-F12</f>
        <v>288.19756500046515</v>
      </c>
      <c r="G13" s="49">
        <f t="shared" si="21"/>
        <v>356.91677270904074</v>
      </c>
      <c r="I13" s="77" t="s">
        <v>290</v>
      </c>
      <c r="J13" s="78">
        <f t="shared" ref="J13:L13" si="22">SUM(J11:J12)</f>
        <v>215.76552858418142</v>
      </c>
      <c r="K13" s="78">
        <f t="shared" si="22"/>
        <v>144.1146853683</v>
      </c>
      <c r="L13" s="78">
        <f t="shared" si="22"/>
        <v>124.78907900000002</v>
      </c>
      <c r="M13" s="78">
        <f t="shared" ref="M13" si="23">SUM(M11:M12)</f>
        <v>103.82718150000008</v>
      </c>
      <c r="N13" s="78">
        <f t="shared" ref="N13" si="24">SUM(N11:N12)</f>
        <v>75.285119532823515</v>
      </c>
      <c r="O13" s="78">
        <f t="shared" ref="O13" si="25">SUM(O11:O12)</f>
        <v>132.14037570668597</v>
      </c>
      <c r="P13" s="79">
        <f t="shared" si="18"/>
        <v>1.7551991220399692</v>
      </c>
      <c r="R13" s="486"/>
      <c r="S13" s="495" t="s">
        <v>405</v>
      </c>
      <c r="T13" s="492">
        <f>((V13/10)-10)/100</f>
        <v>4.4999999999999998E-2</v>
      </c>
      <c r="U13" s="228"/>
      <c r="V13" s="232">
        <v>145</v>
      </c>
      <c r="W13" s="494">
        <f>O11*T13</f>
        <v>6.6299015985872973</v>
      </c>
      <c r="AD13" s="38" t="s">
        <v>368</v>
      </c>
      <c r="AE13" s="162" t="e">
        <f t="shared" si="19"/>
        <v>#DIV/0!</v>
      </c>
      <c r="AF13" s="162" t="e">
        <f t="shared" si="19"/>
        <v>#DIV/0!</v>
      </c>
      <c r="AG13" s="162" t="e">
        <f t="shared" si="19"/>
        <v>#DIV/0!</v>
      </c>
    </row>
    <row r="14" spans="1:33" ht="15.75" thickBot="1" x14ac:dyDescent="0.3">
      <c r="A14" s="50" t="s">
        <v>213</v>
      </c>
      <c r="B14" s="51">
        <f t="shared" ref="B14:E14" si="26">B13/B11</f>
        <v>0.23464335731746833</v>
      </c>
      <c r="C14" s="51">
        <f t="shared" si="26"/>
        <v>9.4401903641372548E-2</v>
      </c>
      <c r="D14" s="51">
        <f t="shared" si="26"/>
        <v>8.5890780001440625E-2</v>
      </c>
      <c r="E14" s="51">
        <f t="shared" si="26"/>
        <v>8.8446225968216621E-2</v>
      </c>
      <c r="F14" s="51">
        <f t="shared" ref="F14:G14" si="27">F13/F11</f>
        <v>0.11505973641642447</v>
      </c>
      <c r="G14" s="51">
        <f t="shared" si="27"/>
        <v>0.1256781527873547</v>
      </c>
      <c r="I14" s="80" t="s">
        <v>289</v>
      </c>
      <c r="J14" s="81">
        <f t="shared" ref="J14" si="28">IFERROR(J12/J11,0)</f>
        <v>-0.10295204863620963</v>
      </c>
      <c r="K14" s="81">
        <f t="shared" ref="K14:L14" si="29">IFERROR(K12/K11,0)</f>
        <v>-0.13652271080645417</v>
      </c>
      <c r="L14" s="81">
        <f t="shared" si="29"/>
        <v>-0.10107141638708111</v>
      </c>
      <c r="M14" s="81">
        <f t="shared" ref="M14" si="30">IFERROR(M12/M11,0)</f>
        <v>-0.10337039161872857</v>
      </c>
      <c r="N14" s="81">
        <f>IFERROR(N12/N11,0)</f>
        <v>-0.10210231218103992</v>
      </c>
      <c r="O14" s="81">
        <f t="shared" ref="O14" si="31">IFERROR(O12/O11,0)</f>
        <v>-0.10310631034585596</v>
      </c>
      <c r="P14" s="82"/>
      <c r="R14" s="487"/>
      <c r="S14" s="465"/>
      <c r="T14" s="493"/>
      <c r="U14" s="229"/>
      <c r="V14" s="233"/>
      <c r="W14" s="473"/>
      <c r="AD14" s="171"/>
      <c r="AE14" s="172"/>
      <c r="AF14" s="172"/>
      <c r="AG14" s="172"/>
    </row>
    <row r="15" spans="1:33" ht="1.5" customHeight="1" thickBot="1" x14ac:dyDescent="0.3">
      <c r="A15" s="125"/>
      <c r="B15" s="126"/>
      <c r="C15" s="126"/>
      <c r="D15" s="126"/>
      <c r="E15" s="126"/>
      <c r="F15" s="126"/>
      <c r="G15" s="126"/>
    </row>
    <row r="16" spans="1:33" ht="15" customHeight="1" x14ac:dyDescent="0.25">
      <c r="A16" s="141" t="s">
        <v>364</v>
      </c>
      <c r="B16" s="51"/>
      <c r="C16" s="153"/>
      <c r="D16" s="153"/>
      <c r="E16" s="153"/>
      <c r="F16" s="153"/>
      <c r="G16" s="153"/>
      <c r="I16" s="71" t="s">
        <v>340</v>
      </c>
      <c r="J16" s="99">
        <f>'A-3'!$E$14*IF($I$3="Pesos Corrientes",1,(1+SUMIF(ipc[ano],J$4,ipc[ipc_acumulado])))</f>
        <v>1247.6734332336</v>
      </c>
      <c r="K16" s="99">
        <f>'A-2'!$E$14*IF($I$3="Pesos Corrientes",1,(1+SUMIF(ipc[ano],K$4,ipc[ipc_acumulado])))</f>
        <v>1237.2245416206001</v>
      </c>
      <c r="L16" s="99">
        <f>'A-1'!$E$14*IF($I$3="Pesos Corrientes",1,(1+SUMIF(ipc[ano],L$4,ipc[ipc_acumulado])))</f>
        <v>1127.2758329999999</v>
      </c>
      <c r="M16" s="99">
        <f>'A-0'!$AA$14</f>
        <v>1029.26762168504</v>
      </c>
      <c r="N16" s="99">
        <f>'A-0'!$AH$14</f>
        <v>1206.0215073177619</v>
      </c>
      <c r="O16" s="99">
        <f>'A-0'!$AJ$14</f>
        <v>1265.9637912852227</v>
      </c>
      <c r="P16" s="100">
        <f>IFERROR(IF($P$5="py",N16/M16,O16/N16),0)</f>
        <v>1.0497024999999998</v>
      </c>
      <c r="R16" s="477" t="s">
        <v>406</v>
      </c>
      <c r="S16" s="464" t="s">
        <v>407</v>
      </c>
      <c r="T16" s="488">
        <f>((V16/10)-10)/100</f>
        <v>4.4999999999999998E-2</v>
      </c>
      <c r="U16" s="226"/>
      <c r="V16" s="230">
        <v>145</v>
      </c>
      <c r="W16" s="471">
        <f>'A-0'!AJ14-('A-0'!AJ14/(1+T16))</f>
        <v>54.515187184530987</v>
      </c>
      <c r="AD16" s="163" t="s">
        <v>369</v>
      </c>
      <c r="AE16" s="164">
        <f t="shared" ref="AE16" si="32">K13/$J13-1</f>
        <v>-0.33207734194633731</v>
      </c>
      <c r="AF16" s="164">
        <f t="shared" ref="AF16" si="33">L13/$J13-1</f>
        <v>-0.42164496887502922</v>
      </c>
      <c r="AG16" s="164">
        <f t="shared" ref="AG16" si="34">M13/$J13-1</f>
        <v>-0.51879624988617379</v>
      </c>
    </row>
    <row r="17" spans="1:35" x14ac:dyDescent="0.25">
      <c r="A17" s="141" t="s">
        <v>365</v>
      </c>
      <c r="B17" s="51"/>
      <c r="C17" s="153">
        <f t="shared" ref="C17:E17" si="35">C8/$B8-1</f>
        <v>-5.4852320675105481E-2</v>
      </c>
      <c r="D17" s="153">
        <f t="shared" si="35"/>
        <v>-0.11814345991561181</v>
      </c>
      <c r="E17" s="153">
        <f t="shared" si="35"/>
        <v>-0.18143459915611815</v>
      </c>
      <c r="F17" s="153">
        <f t="shared" ref="F17:G17" si="36">F8/$B8-1</f>
        <v>-0.17721518987341767</v>
      </c>
      <c r="G17" s="153">
        <f t="shared" si="36"/>
        <v>-0.13080168776371304</v>
      </c>
      <c r="I17" s="74" t="s">
        <v>341</v>
      </c>
      <c r="J17" s="101">
        <f>'A-3'!$E$38*IF($I$3="Pesos Corrientes",1,(1+SUMIF(ipc[ano],J$4,ipc[ipc_acumulado])))</f>
        <v>-74.539652314959</v>
      </c>
      <c r="K17" s="101">
        <f>'A-2'!$E$38*IF($I$3="Pesos Corrientes",1,(1+SUMIF(ipc[ano],K$4,ipc[ipc_acumulado])))</f>
        <v>-138.42139476420002</v>
      </c>
      <c r="L17" s="101">
        <f>'A-1'!$E$38*IF($I$3="Pesos Corrientes",1,(1+SUMIF(ipc[ano],L$4,ipc[ipc_acumulado])))</f>
        <v>-132.69709</v>
      </c>
      <c r="M17" s="101">
        <f>'A-0'!$AA$38</f>
        <v>-106.39579713405999</v>
      </c>
      <c r="N17" s="101">
        <f>'A-0'!$AH$38</f>
        <v>-118.93420527012806</v>
      </c>
      <c r="O17" s="101">
        <f>'A-0'!$AJ$38</f>
        <v>-130.32787939169506</v>
      </c>
      <c r="P17" s="102">
        <f t="shared" ref="P17:P18" si="37">IFERROR(IF($P$5="py",N17/M17,O17/N17),0)</f>
        <v>1.0957981271719877</v>
      </c>
      <c r="R17" s="478"/>
      <c r="S17" s="468"/>
      <c r="T17" s="489"/>
      <c r="U17" s="227"/>
      <c r="V17" s="231"/>
      <c r="W17" s="472"/>
      <c r="AD17" s="21" t="s">
        <v>367</v>
      </c>
      <c r="AE17" s="161">
        <f t="shared" ref="AE17:AE18" si="38">K11/$J11-1</f>
        <v>-0.30610954153051728</v>
      </c>
      <c r="AF17" s="161">
        <f t="shared" ref="AF17:AF18" si="39">L11/$J11-1</f>
        <v>-0.42285493498669502</v>
      </c>
      <c r="AG17" s="161">
        <f t="shared" ref="AG17:AG18" si="40">M11/$J11-1</f>
        <v>-0.51857173330748818</v>
      </c>
    </row>
    <row r="18" spans="1:35" x14ac:dyDescent="0.25">
      <c r="I18" s="77" t="s">
        <v>290</v>
      </c>
      <c r="J18" s="103">
        <f t="shared" ref="J18:L18" si="41">SUM(J16:J17)</f>
        <v>1173.1337809186409</v>
      </c>
      <c r="K18" s="103">
        <f t="shared" si="41"/>
        <v>1098.8031468564002</v>
      </c>
      <c r="L18" s="103">
        <f t="shared" si="41"/>
        <v>994.57874299999992</v>
      </c>
      <c r="M18" s="103">
        <f t="shared" ref="M18" si="42">SUM(M16:M17)</f>
        <v>922.87182455098002</v>
      </c>
      <c r="N18" s="103">
        <f t="shared" ref="N18" si="43">SUM(N16:N17)</f>
        <v>1087.0873020476338</v>
      </c>
      <c r="O18" s="103">
        <f>SUM(O16:O17)</f>
        <v>1135.6359118935277</v>
      </c>
      <c r="P18" s="104">
        <f t="shared" si="37"/>
        <v>1.0446593477400095</v>
      </c>
      <c r="R18" s="478"/>
      <c r="S18" s="495" t="s">
        <v>408</v>
      </c>
      <c r="T18" s="492">
        <f>((V18/10)-10)/100</f>
        <v>9.0000000000000028E-3</v>
      </c>
      <c r="U18" s="228"/>
      <c r="V18" s="232">
        <v>109</v>
      </c>
      <c r="W18" s="494">
        <f>O16*T18</f>
        <v>11.393674121567008</v>
      </c>
      <c r="AD18" s="38" t="s">
        <v>368</v>
      </c>
      <c r="AE18" s="162">
        <f t="shared" si="38"/>
        <v>-7.984534889897632E-2</v>
      </c>
      <c r="AF18" s="162">
        <f t="shared" si="39"/>
        <v>-0.4333976841215349</v>
      </c>
      <c r="AG18" s="162">
        <f t="shared" si="40"/>
        <v>-0.51661546201784403</v>
      </c>
    </row>
    <row r="19" spans="1:35" ht="15.75" thickBot="1" x14ac:dyDescent="0.3">
      <c r="A19" s="142" t="s">
        <v>337</v>
      </c>
      <c r="B19" s="143"/>
      <c r="C19" s="144">
        <f>C11/$B11-1</f>
        <v>1.7514714481491778E-2</v>
      </c>
      <c r="D19" s="144">
        <f>D11/$B11-1</f>
        <v>-0.22655403771956628</v>
      </c>
      <c r="E19" s="144">
        <f>E11/$B11-1</f>
        <v>0.14658329945753112</v>
      </c>
      <c r="F19" s="144">
        <f>F11/$B11-1</f>
        <v>-3.939845746043491E-2</v>
      </c>
      <c r="G19" s="144">
        <f>G11/$B11-1</f>
        <v>8.9139517463931561E-2</v>
      </c>
      <c r="I19" s="80" t="s">
        <v>289</v>
      </c>
      <c r="J19" s="105">
        <f t="shared" ref="J19" si="44">IFERROR(J17/J16,0)</f>
        <v>-5.974291856305243E-2</v>
      </c>
      <c r="K19" s="105">
        <f t="shared" ref="K19:L19" si="45">IFERROR(K17/K16,0)</f>
        <v>-0.1118805763284378</v>
      </c>
      <c r="L19" s="105">
        <f t="shared" si="45"/>
        <v>-0.11771483617000419</v>
      </c>
      <c r="M19" s="105">
        <f t="shared" ref="M19" si="46">IFERROR(M17/M16,0)</f>
        <v>-0.10337039161872862</v>
      </c>
      <c r="N19" s="105">
        <f t="shared" ref="N19" si="47">IFERROR(N17/N16,0)</f>
        <v>-9.8616985309525937E-2</v>
      </c>
      <c r="O19" s="105">
        <f t="shared" ref="O19" si="48">IFERROR(O17/O16,0)</f>
        <v>-0.10294755686446966</v>
      </c>
      <c r="P19" s="106"/>
      <c r="R19" s="479"/>
      <c r="S19" s="465"/>
      <c r="T19" s="493"/>
      <c r="U19" s="229"/>
      <c r="V19" s="233"/>
      <c r="W19" s="473"/>
      <c r="AD19" s="165"/>
      <c r="AE19" s="165"/>
      <c r="AF19" s="165"/>
      <c r="AG19" s="165"/>
      <c r="AI19" s="201" t="s">
        <v>378</v>
      </c>
    </row>
    <row r="20" spans="1:35" ht="15.75" thickBot="1" x14ac:dyDescent="0.3">
      <c r="A20" s="145" t="s">
        <v>338</v>
      </c>
      <c r="B20" s="146"/>
      <c r="C20" s="147">
        <f>C12/$B12-1</f>
        <v>0.20396079038612402</v>
      </c>
      <c r="D20" s="147">
        <f t="shared" ref="D20:E20" si="49">D12/$B12-1</f>
        <v>-7.6229242862310365E-2</v>
      </c>
      <c r="E20" s="147">
        <f t="shared" si="49"/>
        <v>0.36560170197132802</v>
      </c>
      <c r="F20" s="147">
        <f t="shared" ref="F20:G20" si="50">F12/$B12-1</f>
        <v>0.11069132329509457</v>
      </c>
      <c r="G20" s="147">
        <f t="shared" si="50"/>
        <v>0.24420227339210365</v>
      </c>
      <c r="AD20" s="21" t="s">
        <v>264</v>
      </c>
      <c r="AE20" s="161">
        <f t="shared" ref="AE20:AG22" si="51">C11/$B11-1</f>
        <v>1.7514714481491778E-2</v>
      </c>
      <c r="AF20" s="161">
        <f t="shared" si="51"/>
        <v>-0.22655403771956628</v>
      </c>
      <c r="AG20" s="161">
        <f t="shared" si="51"/>
        <v>0.14658329945753112</v>
      </c>
      <c r="AI20" s="170">
        <f>variables!G2</f>
        <v>5.4711799999999977E-2</v>
      </c>
    </row>
    <row r="21" spans="1:35" ht="15" customHeight="1" x14ac:dyDescent="0.25">
      <c r="A21" s="148" t="s">
        <v>356</v>
      </c>
      <c r="B21" s="149"/>
      <c r="C21" s="150">
        <f>C19-C20</f>
        <v>-0.18644607590463225</v>
      </c>
      <c r="D21" s="150">
        <f>D19-D20</f>
        <v>-0.15032479485725592</v>
      </c>
      <c r="E21" s="150">
        <f>E19-E20</f>
        <v>-0.21901840251379689</v>
      </c>
      <c r="F21" s="150">
        <f>F19-F20</f>
        <v>-0.15008978075552948</v>
      </c>
      <c r="G21" s="150">
        <f>G19-G20</f>
        <v>-0.15506275592817209</v>
      </c>
      <c r="I21" s="71" t="s">
        <v>1023</v>
      </c>
      <c r="J21" s="72">
        <f>('A-3'!$F$39-'A-3'!$F$18-'A-3'!$F$21)*IF($I$3="Pesos Corrientes",1,(1+SUMIF(ipc[ano],J$4,ipc[ipc_acumulado])))</f>
        <v>-72.152834237999997</v>
      </c>
      <c r="K21" s="72">
        <f>('A-2'!$F$39-'A-2'!$F$18-'A-2'!$F$21)*IF($I$3="Pesos Corrientes",1,(1+SUMIF(ipc[ano],K$4,ipc[ipc_acumulado])))</f>
        <v>5.9035410000000006</v>
      </c>
      <c r="L21" s="72">
        <f>('A-1'!$F$39-'A-1'!$F$18-'A-1'!$F$21)*IF($I$3="Pesos Corrientes",1,(1+SUMIF(ipc[ano],L$4,ipc[ipc_acumulado])))</f>
        <v>0</v>
      </c>
      <c r="M21" s="72">
        <f>'A-0'!$AM$39-'A-0'!$AM$18-'A-0'!$AM$21</f>
        <v>170</v>
      </c>
      <c r="N21" s="72">
        <f>'A-0'!$AT$39-'A-0'!$AT$18-'A-0'!$AT$21</f>
        <v>53.144000000000005</v>
      </c>
      <c r="O21" s="72">
        <f>'A-0'!$AV$39-'A-0'!$AV$18-'A-0'!$AV$21</f>
        <v>106.099</v>
      </c>
      <c r="P21" s="83">
        <f t="shared" ref="P21:P26" si="52">IFERROR(IF($P$5="py",N21/M21,O21/N21),0)</f>
        <v>1.9964436248682822</v>
      </c>
      <c r="R21" s="477" t="s">
        <v>406</v>
      </c>
      <c r="S21" s="464" t="s">
        <v>409</v>
      </c>
      <c r="T21" s="466">
        <f>((V21)-100)/100</f>
        <v>0</v>
      </c>
      <c r="U21" s="260"/>
      <c r="V21" s="261">
        <v>100</v>
      </c>
      <c r="W21" s="471">
        <f>('A-0'!AT39*(1+T21))-'A-0'!AT39</f>
        <v>0</v>
      </c>
      <c r="Y21" s="3"/>
      <c r="AD21" s="23" t="s">
        <v>265</v>
      </c>
      <c r="AE21" s="166">
        <f t="shared" si="51"/>
        <v>0.20396079038612402</v>
      </c>
      <c r="AF21" s="166">
        <f t="shared" si="51"/>
        <v>-7.6229242862310365E-2</v>
      </c>
      <c r="AG21" s="166">
        <f t="shared" si="51"/>
        <v>0.36560170197132802</v>
      </c>
    </row>
    <row r="22" spans="1:35" x14ac:dyDescent="0.25">
      <c r="A22" s="2"/>
      <c r="B22" s="2"/>
      <c r="C22" s="2"/>
      <c r="D22" s="2"/>
      <c r="E22" s="2"/>
      <c r="F22" s="2"/>
      <c r="G22" s="2"/>
      <c r="I22" s="74" t="s">
        <v>344</v>
      </c>
      <c r="J22" s="75">
        <f>('A-3'!$G$39-'A-3'!$G$18+'A-3'!$G$37)*IF($I$3="Pesos Corrientes",1,(1+SUMIF(ipc[ano],J$4,ipc[ipc_acumulado])))</f>
        <v>0</v>
      </c>
      <c r="K22" s="75">
        <f>('A-2'!$G$39-'A-2'!$G$18+'A-2'!$G$37)*IF($I$3="Pesos Corrientes",1,(1+SUMIF(ipc[ano],K$4,ipc[ipc_acumulado])))</f>
        <v>0</v>
      </c>
      <c r="L22" s="75">
        <f>('A-1'!$G$39-'A-1'!$G$18+'A-1'!$G$37)*IF($I$3="Pesos Corrientes",1,(1+SUMIF(ipc[ano],L$4,ipc[ipc_acumulado])))</f>
        <v>0</v>
      </c>
      <c r="M22" s="75">
        <f>'A-0'!$AY$39-'A-0'!$AY$18+'A-0'!$AM$37</f>
        <v>172.658411</v>
      </c>
      <c r="N22" s="75">
        <f>'A-0'!$BF$39-'A-0'!$BF$18+'A-0'!$AT$37</f>
        <v>0</v>
      </c>
      <c r="O22" s="75">
        <f>'A-0'!$BH$39-'A-0'!$BH$18+'A-0'!AV37</f>
        <v>29.8</v>
      </c>
      <c r="P22" s="305">
        <f>IFERROR(IF($P$5="py",N22/M22,O22/N22),0)</f>
        <v>0</v>
      </c>
      <c r="R22" s="478"/>
      <c r="S22" s="468"/>
      <c r="T22" s="480"/>
      <c r="W22" s="472"/>
      <c r="AD22" s="167" t="s">
        <v>266</v>
      </c>
      <c r="AE22" s="168">
        <f t="shared" si="51"/>
        <v>-0.59063266427696348</v>
      </c>
      <c r="AF22" s="168">
        <f t="shared" si="51"/>
        <v>-0.71688149305096194</v>
      </c>
      <c r="AG22" s="168">
        <f t="shared" si="51"/>
        <v>-0.56780806942684114</v>
      </c>
    </row>
    <row r="23" spans="1:35" ht="15.75" thickBot="1" x14ac:dyDescent="0.3">
      <c r="A23" s="27" t="s">
        <v>256</v>
      </c>
      <c r="B23" s="28">
        <f t="shared" ref="B23:G23" si="53">J29/B9</f>
        <v>11.002092871343127</v>
      </c>
      <c r="C23" s="28">
        <f t="shared" si="53"/>
        <v>11.844489101089298</v>
      </c>
      <c r="D23" s="28">
        <f t="shared" si="53"/>
        <v>9.6495562726794279</v>
      </c>
      <c r="E23" s="28">
        <f t="shared" si="53"/>
        <v>15.410883397169998</v>
      </c>
      <c r="F23" s="28">
        <f t="shared" si="53"/>
        <v>12.844947127487462</v>
      </c>
      <c r="G23" s="28">
        <f t="shared" si="53"/>
        <v>13.786053139194948</v>
      </c>
      <c r="I23" s="74" t="s">
        <v>291</v>
      </c>
      <c r="J23" s="75">
        <f>('A-3'!$N$18)*IF($I$3="Pesos Corrientes",1,(1+SUMIF(ipc[ano],J$4,ipc[ipc_acumulado])))</f>
        <v>48.347988912000005</v>
      </c>
      <c r="K23" s="75">
        <f>'A-2'!$N$18*IF($I$3="Pesos Corrientes",1,(1+SUMIF(ipc[ano],K$4,ipc[ipc_acumulado])))</f>
        <v>3.5360279999999999</v>
      </c>
      <c r="L23" s="75">
        <f>'A-1'!$N$18*IF($I$3="Pesos Corrientes",1,(1+SUMIF(ipc[ano],L$4,ipc[ipc_acumulado])))</f>
        <v>36.07</v>
      </c>
      <c r="M23" s="75">
        <f>'A-0'!$BK$39-'A-0'!$BK$21</f>
        <v>43.5</v>
      </c>
      <c r="N23" s="75">
        <f>'A-0'!$BR$39-'A-0'!$BR$21</f>
        <v>56.50179</v>
      </c>
      <c r="O23" s="75">
        <f>'A-0'!$BT$39-'A-0'!$BT$21</f>
        <v>59.044370549999996</v>
      </c>
      <c r="P23" s="305">
        <f t="shared" si="52"/>
        <v>1.0449999999999999</v>
      </c>
      <c r="R23" s="478"/>
      <c r="S23" s="262" t="s">
        <v>212</v>
      </c>
      <c r="T23" s="263">
        <f>((V23)-100)/100</f>
        <v>0</v>
      </c>
      <c r="U23" s="264"/>
      <c r="V23" s="264">
        <v>100</v>
      </c>
      <c r="W23" s="265">
        <f>W21*T23</f>
        <v>0</v>
      </c>
    </row>
    <row r="24" spans="1:35" ht="15" customHeight="1" x14ac:dyDescent="0.25">
      <c r="A24" s="29" t="s">
        <v>257</v>
      </c>
      <c r="B24" s="30">
        <f t="shared" ref="B24:G24" si="54">J53/B9</f>
        <v>8.4205248624925897</v>
      </c>
      <c r="C24" s="30">
        <f t="shared" si="54"/>
        <v>10.72634678228698</v>
      </c>
      <c r="D24" s="30">
        <f t="shared" si="54"/>
        <v>8.8207483577511976</v>
      </c>
      <c r="E24" s="30">
        <f t="shared" si="54"/>
        <v>14.047848921854063</v>
      </c>
      <c r="F24" s="30">
        <f t="shared" si="54"/>
        <v>11.367010896715845</v>
      </c>
      <c r="G24" s="30">
        <f t="shared" si="54"/>
        <v>12.053447446432614</v>
      </c>
      <c r="I24" s="74" t="s">
        <v>292</v>
      </c>
      <c r="J24" s="304">
        <f>('A-3'!$I$39-'A-3'!$I$18-'A-3'!$I$21)*IF($I$3="Pesos Corrientes",1,(1+SUMIF(ipc[ano],J$4,ipc[ipc_acumulado])))</f>
        <v>1245.1862582847061</v>
      </c>
      <c r="K24" s="304">
        <f>('A-2'!$I$39-'A-2'!$I$18-'A-2'!$I$21)*IF($I$3="Pesos Corrientes",1,(1+SUMIF(ipc[ano],K$4,ipc[ipc_acumulado])))</f>
        <v>1314.9912289840197</v>
      </c>
      <c r="L24" s="304">
        <f>('A-1'!$I$39-'A-1'!$I$18-'A-1'!$I$21)*IF($I$3="Pesos Corrientes",1,(1+SUMIF(ipc[ano],L$4,ipc[ipc_acumulado])))</f>
        <v>864.69853666000017</v>
      </c>
      <c r="M24" s="304">
        <f>'A-0'!$BW$39-'A-0'!$BW$18-'A-0'!$BW$21</f>
        <v>1536.743962</v>
      </c>
      <c r="N24" s="304">
        <f>'A-0'!$CD$39-'A-0'!$CD$18-'A-0'!$CD$21</f>
        <v>1199.8117018795983</v>
      </c>
      <c r="O24" s="304">
        <f>'A-0'!$CF$39-'A-0'!$CF$18-'A-0'!$CF$21</f>
        <v>1344.2725121239459</v>
      </c>
      <c r="P24" s="305">
        <f t="shared" si="52"/>
        <v>1.120402901570337</v>
      </c>
      <c r="R24" s="478"/>
      <c r="S24" s="464" t="s">
        <v>410</v>
      </c>
      <c r="T24" s="469"/>
      <c r="U24" s="260"/>
      <c r="V24" s="469"/>
      <c r="W24" s="481"/>
      <c r="AD24" s="169" t="s">
        <v>370</v>
      </c>
      <c r="AE24" s="170">
        <f t="shared" ref="AE24:AG24" si="55">K31/$J31-1</f>
        <v>0.12072137056306431</v>
      </c>
      <c r="AF24" s="170">
        <f t="shared" si="55"/>
        <v>-0.34147958029186298</v>
      </c>
      <c r="AG24" s="170">
        <f t="shared" si="55"/>
        <v>1.1864715119746596</v>
      </c>
    </row>
    <row r="25" spans="1:35" x14ac:dyDescent="0.25">
      <c r="A25" s="31" t="s">
        <v>258</v>
      </c>
      <c r="B25" s="32">
        <f t="shared" ref="B25:G25" si="56">J55/B9</f>
        <v>2.5815680088505362</v>
      </c>
      <c r="C25" s="32">
        <f t="shared" si="56"/>
        <v>1.1181423188023192</v>
      </c>
      <c r="D25" s="32">
        <f t="shared" si="56"/>
        <v>0.82880791492823014</v>
      </c>
      <c r="E25" s="32">
        <f t="shared" si="56"/>
        <v>1.3630344753159356</v>
      </c>
      <c r="F25" s="32">
        <f t="shared" si="56"/>
        <v>1.4779362307716162</v>
      </c>
      <c r="G25" s="32">
        <f t="shared" si="56"/>
        <v>1.7326056927623337</v>
      </c>
      <c r="I25" s="74" t="s">
        <v>293</v>
      </c>
      <c r="J25" s="304">
        <f>('A-3'!$N$39+'A-3'!$N$80)*IF($I$3="Pesos Corrientes",1,(1+SUMIF(ipc[ano],J$4,ipc[ipc_acumulado])))-J8-J13-J18-SUM(J21:J24)</f>
        <v>-2.7847119532070792</v>
      </c>
      <c r="K25" s="304">
        <f>('A-2'!$N$39+'A-2'!$N$80)*IF($I$3="Pesos Corrientes",1,(1+SUMIF(ipc[ano],K$4,ipc[ipc_acumulado])))-K8-K13-K18-SUM(K21:K24)</f>
        <v>85.816928435282762</v>
      </c>
      <c r="L25" s="304">
        <f>('A-1'!$N$39+'A-1'!$N$80)*IF($I$3="Pesos Corrientes",1,(1+SUMIF(ipc[ano],L$4,ipc[ipc_acumulado])))-L8-L13-L18-SUM(L21:L24)</f>
        <v>-3.3790976699999646</v>
      </c>
      <c r="M25" s="304">
        <v>40.109999999999673</v>
      </c>
      <c r="N25" s="304">
        <v>32.934776399999691</v>
      </c>
      <c r="O25" s="304">
        <v>32.934776399999691</v>
      </c>
      <c r="P25" s="305">
        <f t="shared" si="52"/>
        <v>1</v>
      </c>
      <c r="R25" s="478"/>
      <c r="S25" s="468"/>
      <c r="T25" s="470"/>
      <c r="V25" s="470"/>
      <c r="W25" s="482"/>
    </row>
    <row r="26" spans="1:35" ht="15.75" thickBot="1" x14ac:dyDescent="0.3">
      <c r="I26" s="80" t="s">
        <v>294</v>
      </c>
      <c r="J26" s="84">
        <v>0</v>
      </c>
      <c r="K26" s="84">
        <v>0</v>
      </c>
      <c r="L26" s="84">
        <v>0</v>
      </c>
      <c r="M26" s="84">
        <v>0</v>
      </c>
      <c r="N26" s="84">
        <v>0</v>
      </c>
      <c r="O26" s="84">
        <f>W34</f>
        <v>0</v>
      </c>
      <c r="P26" s="85">
        <f t="shared" si="52"/>
        <v>0</v>
      </c>
      <c r="R26" s="478"/>
      <c r="S26" s="262" t="s">
        <v>212</v>
      </c>
      <c r="T26" s="263">
        <f>((V26)-100)/100</f>
        <v>0</v>
      </c>
      <c r="U26" s="264"/>
      <c r="V26" s="266">
        <v>100</v>
      </c>
      <c r="W26" s="265">
        <f>W24*T26</f>
        <v>0</v>
      </c>
    </row>
    <row r="27" spans="1:35" ht="15" customHeight="1" x14ac:dyDescent="0.25">
      <c r="A27" s="2"/>
      <c r="B27" s="2"/>
      <c r="C27" s="2"/>
      <c r="D27" s="2"/>
      <c r="E27" s="2"/>
      <c r="F27" s="2"/>
      <c r="G27" s="2"/>
      <c r="I27" s="447" t="s">
        <v>117</v>
      </c>
      <c r="J27" s="448">
        <f t="shared" ref="J27:O27" si="57">SUM(J21:J26)</f>
        <v>1218.596701005499</v>
      </c>
      <c r="K27" s="448">
        <f t="shared" si="57"/>
        <v>1410.2477264193024</v>
      </c>
      <c r="L27" s="448">
        <f t="shared" si="57"/>
        <v>897.38943899000026</v>
      </c>
      <c r="M27" s="448">
        <f t="shared" si="57"/>
        <v>1963.0123729999996</v>
      </c>
      <c r="N27" s="448">
        <f t="shared" si="57"/>
        <v>1342.3922682795981</v>
      </c>
      <c r="O27" s="448">
        <f t="shared" si="57"/>
        <v>1572.1506590739457</v>
      </c>
      <c r="P27" s="449">
        <f t="shared" ref="P27" si="58">IFERROR(IF($P$5="py",N27/M27,O27/N27),0)</f>
        <v>1.1711559253010333</v>
      </c>
      <c r="R27" s="478"/>
      <c r="S27" s="464" t="s">
        <v>411</v>
      </c>
      <c r="T27" s="466">
        <f>((V27)-100)/100</f>
        <v>0.13</v>
      </c>
      <c r="U27" s="260"/>
      <c r="V27" s="261">
        <v>113</v>
      </c>
      <c r="W27" s="471">
        <f>'A-0'!CF19-'A-0'!CD19</f>
        <v>144.46081024434761</v>
      </c>
    </row>
    <row r="28" spans="1:35" x14ac:dyDescent="0.25">
      <c r="A28" s="33" t="s">
        <v>259</v>
      </c>
      <c r="B28" s="34"/>
      <c r="C28" s="34"/>
      <c r="D28" s="34"/>
      <c r="E28" s="34"/>
      <c r="F28" s="34"/>
      <c r="G28" s="34"/>
      <c r="J28" s="3"/>
      <c r="K28" s="3"/>
      <c r="L28" s="3"/>
      <c r="R28" s="478"/>
      <c r="S28" s="468"/>
      <c r="T28" s="480"/>
      <c r="W28" s="472"/>
    </row>
    <row r="29" spans="1:35" ht="15.75" thickBot="1" x14ac:dyDescent="0.3">
      <c r="A29" s="29" t="s">
        <v>260</v>
      </c>
      <c r="B29" s="35"/>
      <c r="C29" s="35"/>
      <c r="D29" s="35"/>
      <c r="E29" s="35"/>
      <c r="F29" s="35"/>
      <c r="G29" s="35"/>
      <c r="I29" s="86" t="s">
        <v>295</v>
      </c>
      <c r="J29" s="87">
        <f t="shared" ref="J29:O29" si="59">J8+J13+J18+SUM(J21:J26)</f>
        <v>2607.496010508321</v>
      </c>
      <c r="K29" s="87">
        <f t="shared" si="59"/>
        <v>2653.1655586440029</v>
      </c>
      <c r="L29" s="87">
        <f t="shared" si="59"/>
        <v>2016.7572609900003</v>
      </c>
      <c r="M29" s="88">
        <f t="shared" si="59"/>
        <v>2989.7113790509798</v>
      </c>
      <c r="N29" s="88">
        <f t="shared" si="59"/>
        <v>2504.7646898600551</v>
      </c>
      <c r="O29" s="88">
        <f t="shared" si="59"/>
        <v>2839.9269466741594</v>
      </c>
      <c r="P29" s="89">
        <f t="shared" ref="P29" si="60">IFERROR(IF($P$5="py",N29/M29,O29/N29),0)</f>
        <v>1.1338098776986634</v>
      </c>
      <c r="R29" s="478"/>
      <c r="S29" s="262" t="s">
        <v>212</v>
      </c>
      <c r="T29" s="263">
        <f>((V29)-100)/100</f>
        <v>0</v>
      </c>
      <c r="U29" s="264"/>
      <c r="V29" s="266">
        <v>100</v>
      </c>
      <c r="W29" s="265">
        <f>W27*T29</f>
        <v>0</v>
      </c>
    </row>
    <row r="30" spans="1:35" ht="15" customHeight="1" x14ac:dyDescent="0.25">
      <c r="A30" s="36" t="s">
        <v>261</v>
      </c>
      <c r="B30" s="37">
        <f t="shared" ref="B30:G30" si="61">J13/B8</f>
        <v>0.91040307419485833</v>
      </c>
      <c r="C30" s="37">
        <f t="shared" si="61"/>
        <v>0.64336913110848215</v>
      </c>
      <c r="D30" s="37">
        <f t="shared" si="61"/>
        <v>0.59707693301435416</v>
      </c>
      <c r="E30" s="37">
        <f t="shared" si="61"/>
        <v>0.53519165721649531</v>
      </c>
      <c r="F30" s="37">
        <f t="shared" si="61"/>
        <v>0.38607753606576162</v>
      </c>
      <c r="G30" s="37">
        <f t="shared" si="61"/>
        <v>0.64145813449847555</v>
      </c>
      <c r="R30" s="478"/>
      <c r="S30" s="464" t="s">
        <v>412</v>
      </c>
      <c r="T30" s="466">
        <v>4.4999999999999998E-2</v>
      </c>
      <c r="U30" s="260"/>
      <c r="V30" s="261">
        <v>104</v>
      </c>
      <c r="W30" s="471">
        <f>'A-0'!BT15-'A-0'!BR15</f>
        <v>2.5425805499999967</v>
      </c>
    </row>
    <row r="31" spans="1:35" ht="15.75" thickBot="1" x14ac:dyDescent="0.3">
      <c r="A31" s="38" t="s">
        <v>262</v>
      </c>
      <c r="B31" s="39">
        <f t="shared" ref="B31:G31" si="62">-J14</f>
        <v>0.10295204863620963</v>
      </c>
      <c r="C31" s="39">
        <f t="shared" si="62"/>
        <v>0.13652271080645417</v>
      </c>
      <c r="D31" s="39">
        <f t="shared" si="62"/>
        <v>0.10107141638708111</v>
      </c>
      <c r="E31" s="39">
        <f t="shared" si="62"/>
        <v>0.10337039161872857</v>
      </c>
      <c r="F31" s="39">
        <f>-N14</f>
        <v>0.10210231218103992</v>
      </c>
      <c r="G31" s="39">
        <f t="shared" si="62"/>
        <v>0.10310631034585596</v>
      </c>
      <c r="I31" s="90" t="s">
        <v>296</v>
      </c>
      <c r="J31" s="91">
        <f t="shared" ref="J31:O31" si="63">SUM(J32:J33)</f>
        <v>114.02682703944119</v>
      </c>
      <c r="K31" s="91">
        <f t="shared" si="63"/>
        <v>127.79230188060001</v>
      </c>
      <c r="L31" s="91">
        <f t="shared" si="63"/>
        <v>75.088993999999957</v>
      </c>
      <c r="M31" s="91">
        <f t="shared" si="63"/>
        <v>249.31640892259998</v>
      </c>
      <c r="N31" s="91">
        <f t="shared" si="63"/>
        <v>217.30607321128002</v>
      </c>
      <c r="O31" s="91">
        <f t="shared" si="63"/>
        <v>211.20607321128</v>
      </c>
      <c r="P31" s="92">
        <f t="shared" ref="P31:P33" si="64">IFERROR(IF($P$5="py",N31/M31,O31/N31),0)</f>
        <v>0.97192899439092451</v>
      </c>
      <c r="R31" s="478"/>
      <c r="S31" s="465"/>
      <c r="T31" s="467"/>
      <c r="U31" s="264"/>
      <c r="V31" s="264"/>
      <c r="W31" s="473"/>
    </row>
    <row r="32" spans="1:35" ht="15" customHeight="1" x14ac:dyDescent="0.25">
      <c r="I32" s="74" t="s">
        <v>391</v>
      </c>
      <c r="J32" s="75">
        <f>('A-3'!$N$41-'A-3'!$I$41)*IF($I$3="Pesos Corrientes",1,(1+SUMIF(ipc[ano],J$4,ipc[ipc_acumulado])))-J33</f>
        <v>114.02682703944119</v>
      </c>
      <c r="K32" s="75">
        <f>('A-2'!$N$41-'A-2'!$I$41)*IF($I$3="Pesos Corrientes",1,(1+SUMIF(ipc[ano],K$4,ipc[ipc_acumulado])))-K33</f>
        <v>127.79230188060001</v>
      </c>
      <c r="L32" s="75">
        <f>('A-1'!$N$41-'A-1'!$I$41)*IF($I$3="Pesos Corrientes",1,(1+SUMIF(ipc[ano],L$4,ipc[ipc_acumulado])))-L33</f>
        <v>75.088993999999957</v>
      </c>
      <c r="M32" s="75">
        <f>'A-0'!$DK$41-'A-0'!$BW$41-M33</f>
        <v>249.31640892259998</v>
      </c>
      <c r="N32" s="304">
        <f>'A-0'!$DL$41-'A-0'!$CD$41-N33</f>
        <v>217.30607321128002</v>
      </c>
      <c r="O32" s="304">
        <f>('A-0'!$DM$41-'A-0'!$CF$41-O33+W39)*(1+T40)</f>
        <v>211.20607321128</v>
      </c>
      <c r="P32" s="93">
        <f t="shared" si="64"/>
        <v>0.97192899439092451</v>
      </c>
      <c r="R32" s="478"/>
      <c r="S32" s="464" t="s">
        <v>413</v>
      </c>
      <c r="T32" s="466">
        <f>((V32/2)-100)/100</f>
        <v>0.01</v>
      </c>
      <c r="U32" s="260"/>
      <c r="V32" s="261">
        <v>202</v>
      </c>
      <c r="W32" s="471">
        <f>('A-0'!L15+'A-0'!L16-'A-0'!J15-'A-0'!J16)-('A-0'!X15+'A-0'!X16-'A-0'!V15-'A-0'!V16)</f>
        <v>-1.9695599999999924E-2</v>
      </c>
    </row>
    <row r="33" spans="1:30" ht="15.75" thickBot="1" x14ac:dyDescent="0.3">
      <c r="A33" s="40" t="s">
        <v>263</v>
      </c>
      <c r="B33" s="41">
        <f t="shared" ref="B33:G33" si="65">J31/B9</f>
        <v>0.48112585248709361</v>
      </c>
      <c r="C33" s="41">
        <f t="shared" si="65"/>
        <v>0.57050134768125005</v>
      </c>
      <c r="D33" s="41">
        <f t="shared" si="65"/>
        <v>0.35927748325358833</v>
      </c>
      <c r="E33" s="41">
        <f t="shared" si="65"/>
        <v>1.2851361284670102</v>
      </c>
      <c r="F33" s="41">
        <f t="shared" si="65"/>
        <v>1.1143901190322052</v>
      </c>
      <c r="G33" s="41">
        <f t="shared" si="65"/>
        <v>1.0252722000547574</v>
      </c>
      <c r="I33" s="80"/>
      <c r="J33" s="84"/>
      <c r="K33" s="84"/>
      <c r="L33" s="84"/>
      <c r="M33" s="84"/>
      <c r="N33" s="84"/>
      <c r="O33" s="84"/>
      <c r="P33" s="94">
        <f t="shared" si="64"/>
        <v>0</v>
      </c>
      <c r="R33" s="479"/>
      <c r="S33" s="465"/>
      <c r="T33" s="467"/>
      <c r="U33" s="264"/>
      <c r="V33" s="264"/>
      <c r="W33" s="473"/>
    </row>
    <row r="34" spans="1:30" ht="15" customHeight="1" x14ac:dyDescent="0.25">
      <c r="A34" s="29" t="s">
        <v>375</v>
      </c>
      <c r="B34" s="30">
        <f t="shared" ref="B34:G34" si="66">(J53-J31)/B9</f>
        <v>7.9393990100054959</v>
      </c>
      <c r="C34" s="30">
        <f t="shared" si="66"/>
        <v>10.155845434605729</v>
      </c>
      <c r="D34" s="30">
        <f t="shared" si="66"/>
        <v>8.4614708744976088</v>
      </c>
      <c r="E34" s="30">
        <f t="shared" si="66"/>
        <v>12.762712793387053</v>
      </c>
      <c r="F34" s="30">
        <f t="shared" si="66"/>
        <v>10.25262077768364</v>
      </c>
      <c r="G34" s="30">
        <f t="shared" si="66"/>
        <v>11.028175246377858</v>
      </c>
      <c r="R34" s="474" t="s">
        <v>417</v>
      </c>
      <c r="S34" s="464" t="s">
        <v>418</v>
      </c>
      <c r="T34" s="469"/>
      <c r="U34" s="260"/>
      <c r="V34" s="469"/>
      <c r="W34" s="471"/>
    </row>
    <row r="35" spans="1:30" x14ac:dyDescent="0.25">
      <c r="A35" s="42" t="s">
        <v>376</v>
      </c>
      <c r="B35" s="43">
        <f t="shared" ref="B35:G35" si="67">J53/B9</f>
        <v>8.4205248624925897</v>
      </c>
      <c r="C35" s="43">
        <f t="shared" si="67"/>
        <v>10.72634678228698</v>
      </c>
      <c r="D35" s="43">
        <f t="shared" si="67"/>
        <v>8.8207483577511976</v>
      </c>
      <c r="E35" s="43">
        <f t="shared" si="67"/>
        <v>14.047848921854063</v>
      </c>
      <c r="F35" s="43">
        <f t="shared" si="67"/>
        <v>11.367010896715845</v>
      </c>
      <c r="G35" s="43">
        <f t="shared" si="67"/>
        <v>12.053447446432614</v>
      </c>
      <c r="I35" s="71" t="s">
        <v>111</v>
      </c>
      <c r="J35" s="99">
        <f>('A-3'!$N$42-'A-3'!$I$42)*IF($I$3="Pesos Corrientes",1,(1+SUMIF(ipc[ano],J$4,ipc[ipc_acumulado])))</f>
        <v>282.22268802537315</v>
      </c>
      <c r="K35" s="99">
        <f>('A-2'!$N$42-'A-2'!$I$42)*IF($I$3="Pesos Corrientes",1,(1+SUMIF(ipc[ano],K$4,ipc[ipc_acumulado])))</f>
        <v>276.36579958175105</v>
      </c>
      <c r="L35" s="99">
        <f>('A-1'!$N$42-'A-1'!$I$42)*IF($I$3="Pesos Corrientes",1,(1+SUMIF(ipc[ano],L$4,ipc[ipc_acumulado])))</f>
        <v>153.03663301999998</v>
      </c>
      <c r="M35" s="99">
        <f>'A-0'!$DK$42-'A-0'!$BW$42</f>
        <v>158.89663300000001</v>
      </c>
      <c r="N35" s="99">
        <f>'A-0'!$DL$42-'A-0'!$CD$42</f>
        <v>160.1</v>
      </c>
      <c r="O35" s="99">
        <f>+'A-0'!DM42</f>
        <v>168.89999999999998</v>
      </c>
      <c r="P35" s="95">
        <f t="shared" ref="P35:P51" si="68">IFERROR(IF($P$5="py",N35/M35,O35/N35),0)</f>
        <v>1.0549656464709556</v>
      </c>
      <c r="R35" s="475"/>
      <c r="S35" s="468"/>
      <c r="T35" s="470"/>
      <c r="V35" s="470"/>
      <c r="W35" s="472"/>
    </row>
    <row r="36" spans="1:30" ht="15.75" thickBot="1" x14ac:dyDescent="0.3">
      <c r="I36" s="74" t="s">
        <v>108</v>
      </c>
      <c r="J36" s="101">
        <f>(SUM('A-3'!$N$43,'A-3'!$N$67,'A-3'!$N$69:$N$72,'A-3'!$N$85)-SUM('A-3'!$I$43,'A-3'!$I$67,'A-3'!$I$69:$I$72,'A-3'!$I$85))*IF($I$3="Pesos Corrientes",1,(1+SUMIF(ipc[ano],J$4,ipc[ipc_acumulado])))</f>
        <v>7.0146342810283802</v>
      </c>
      <c r="K36" s="101">
        <f>(SUM('A-2'!$N$43,'A-2'!$N$67,'A-2'!$N$69:$N$72,'A-2'!$N$85)-SUM('A-2'!$I$43,'A-2'!$I$67,'A-2'!$I$69:$I$72,'A-2'!$I$85))*IF($I$3="Pesos Corrientes",1,(1+SUMIF(ipc[ano],K$4,ipc[ipc_acumulado])))</f>
        <v>32.993853342992992</v>
      </c>
      <c r="L36" s="101">
        <f>(SUM('A-1'!$N$43,'A-1'!$N$67,'A-1'!$N$69:$N$72,'A-1'!$N$85)-SUM('A-1'!$I$43,'A-1'!$I$67,'A-1'!$I$69:$I$72,'A-1'!$I$85))*IF($I$3="Pesos Corrientes",1,(1+SUMIF(ipc[ano],L$4,ipc[ipc_acumulado])))</f>
        <v>1.2122304299999982</v>
      </c>
      <c r="M36" s="304">
        <f>SUM('A-0'!$DK$43,'A-0'!$DK$67,'A-0'!$DK$69:$DK$73,'A-0'!$DK$86)-SUM('A-0'!$BW$43,'A-0'!$BW$67,'A-0'!$BW$69:$BW$73,'A-0'!$BW$86)+1.5+150</f>
        <v>165.56244399999991</v>
      </c>
      <c r="N36" s="304">
        <f>SUM('A-0'!$DL$43,'A-0'!$DL$67,'A-0'!$DL$69:$DL$73,'A-0'!$DL$86)-SUM('A-0'!$CD$43,'A-0'!$CD$67,'A-0'!$CD$69:$CD$73,'A-0'!$CD$86)+1.5</f>
        <v>132.80676349600003</v>
      </c>
      <c r="O36" s="304">
        <f>+'A-0'!DI43-'A-0'!CF43</f>
        <v>168.03600000000006</v>
      </c>
      <c r="P36" s="93">
        <f t="shared" si="68"/>
        <v>1.2652668853349558</v>
      </c>
      <c r="R36" s="476"/>
      <c r="S36" s="262" t="s">
        <v>212</v>
      </c>
      <c r="T36" s="263">
        <f>((V36)-100)/100</f>
        <v>0.3</v>
      </c>
      <c r="U36" s="264"/>
      <c r="V36" s="264">
        <v>130</v>
      </c>
      <c r="W36" s="265">
        <f>W34*T36</f>
        <v>0</v>
      </c>
    </row>
    <row r="37" spans="1:30" x14ac:dyDescent="0.25">
      <c r="A37" s="53" t="s">
        <v>267</v>
      </c>
      <c r="B37" s="54"/>
      <c r="C37" s="54"/>
      <c r="D37" s="54"/>
      <c r="E37" s="55"/>
      <c r="F37" s="55"/>
      <c r="G37" s="55"/>
      <c r="I37" s="74" t="s">
        <v>315</v>
      </c>
      <c r="J37" s="101">
        <f>('A-3'!$N$44-'A-3'!$I$44)*IF($I$3="Pesos Corrientes",1,(1+SUMIF(ipc[ano],J$4,ipc[ipc_acumulado])))</f>
        <v>0</v>
      </c>
      <c r="K37" s="101">
        <f>('A-2'!$N$44-'A-2'!$I$44)*IF($I$3="Pesos Corrientes",1,(1+SUMIF(ipc[ano],K$4,ipc[ipc_acumulado])))</f>
        <v>0</v>
      </c>
      <c r="L37" s="101">
        <f>('A-1'!$N$44-'A-1'!$I$44)*IF($I$3="Pesos Corrientes",1,(1+SUMIF(ipc[ano],L$4,ipc[ipc_acumulado])))</f>
        <v>0</v>
      </c>
      <c r="M37" s="101">
        <f>'A-0'!$DK$44-'A-0'!$BW$44</f>
        <v>0</v>
      </c>
      <c r="N37" s="101">
        <f>'A-0'!$DL$44-'A-0'!$CD$44</f>
        <v>0</v>
      </c>
      <c r="O37" s="101">
        <f>N37*(1+T54)</f>
        <v>0</v>
      </c>
      <c r="P37" s="93">
        <f t="shared" si="68"/>
        <v>0</v>
      </c>
      <c r="S37" s="267"/>
      <c r="T37" s="268"/>
      <c r="U37" s="269"/>
      <c r="V37" s="269"/>
      <c r="W37" s="270"/>
    </row>
    <row r="38" spans="1:30" ht="15.75" thickBot="1" x14ac:dyDescent="0.3">
      <c r="A38" s="56" t="s">
        <v>374</v>
      </c>
      <c r="B38" s="194">
        <f t="shared" ref="B38:G38" si="69">J8/J29</f>
        <v>0</v>
      </c>
      <c r="C38" s="194">
        <f t="shared" si="69"/>
        <v>0</v>
      </c>
      <c r="D38" s="194">
        <f t="shared" si="69"/>
        <v>0</v>
      </c>
      <c r="E38" s="194">
        <f t="shared" si="69"/>
        <v>0</v>
      </c>
      <c r="F38" s="194">
        <f t="shared" si="69"/>
        <v>0</v>
      </c>
      <c r="G38" s="194">
        <f t="shared" si="69"/>
        <v>0</v>
      </c>
      <c r="I38" s="74" t="s">
        <v>314</v>
      </c>
      <c r="J38" s="101">
        <f>('A-3'!$N$45-'A-3'!$I$45)*IF($I$3="Pesos Corrientes",1,(1+SUMIF(ipc[ano],J$4,ipc[ipc_acumulado])))</f>
        <v>6.9767139429108012</v>
      </c>
      <c r="K38" s="101">
        <f>('A-2'!$N$45-'A-2'!$I$45)*IF($I$3="Pesos Corrientes",1,(1+SUMIF(ipc[ano],K$4,ipc[ipc_acumulado])))</f>
        <v>16.644748325399995</v>
      </c>
      <c r="L38" s="101">
        <f>('A-1'!$N$45-'A-1'!$I$45)*IF($I$3="Pesos Corrientes",1,(1+SUMIF(ipc[ano],L$4,ipc[ipc_acumulado])))</f>
        <v>0</v>
      </c>
      <c r="M38" s="101">
        <f>'A-0'!$DK$45-'A-0'!$BW$45</f>
        <v>0</v>
      </c>
      <c r="N38" s="101">
        <f>'A-0'!$DL$45-'A-0'!$CD$45</f>
        <v>0</v>
      </c>
      <c r="O38" s="101">
        <v>13</v>
      </c>
      <c r="P38" s="93">
        <f>IFERROR(IF($P$5="py",N38/M38,O38/N38),0)</f>
        <v>0</v>
      </c>
    </row>
    <row r="39" spans="1:30" ht="15" customHeight="1" x14ac:dyDescent="0.25">
      <c r="A39" s="57" t="s">
        <v>269</v>
      </c>
      <c r="B39" s="193">
        <f t="shared" ref="B39:G39" si="70">J13/J29</f>
        <v>8.2748172083346269E-2</v>
      </c>
      <c r="C39" s="193">
        <f t="shared" si="70"/>
        <v>5.4318014531273759E-2</v>
      </c>
      <c r="D39" s="193">
        <f t="shared" si="70"/>
        <v>6.1876102500676086E-2</v>
      </c>
      <c r="E39" s="193">
        <f t="shared" si="70"/>
        <v>3.4728162132144615E-2</v>
      </c>
      <c r="F39" s="193">
        <f t="shared" si="70"/>
        <v>3.0056763350903754E-2</v>
      </c>
      <c r="G39" s="193">
        <f t="shared" si="70"/>
        <v>4.6529498183548582E-2</v>
      </c>
      <c r="I39" s="74" t="s">
        <v>120</v>
      </c>
      <c r="J39" s="101">
        <f>('A-3'!$N$46-'A-3'!$I$46)*IF($I$3="Pesos Corrientes",1,(1+SUMIF(ipc[ano],J$4,ipc[ipc_acumulado])))</f>
        <v>5.4361074172948731</v>
      </c>
      <c r="K39" s="101">
        <f>('A-2'!$N$46-'A-2'!$I$46)*IF($I$3="Pesos Corrientes",1,(1+SUMIF(ipc[ano],K$4,ipc[ipc_acumulado])))</f>
        <v>9.0484457726879999</v>
      </c>
      <c r="L39" s="101">
        <f>('A-1'!$N$46-'A-1'!$I$46)*IF($I$3="Pesos Corrientes",1,(1+SUMIF(ipc[ano],L$4,ipc[ipc_acumulado])))</f>
        <v>2.7453930699999995</v>
      </c>
      <c r="M39" s="101">
        <f>'A-0'!$DK$46-'A-0'!$BW$46</f>
        <v>4.0279999999999205E-3</v>
      </c>
      <c r="N39" s="101">
        <f>'A-0'!$DL$46-'A-0'!$CD$46</f>
        <v>2.0139999999999603E-3</v>
      </c>
      <c r="O39" s="101">
        <v>2</v>
      </c>
      <c r="P39" s="93">
        <f t="shared" si="68"/>
        <v>993.04865938432943</v>
      </c>
      <c r="S39" s="400" t="s">
        <v>1068</v>
      </c>
      <c r="T39" s="450"/>
      <c r="U39" s="260"/>
      <c r="V39" s="450"/>
      <c r="W39" s="401"/>
    </row>
    <row r="40" spans="1:30" x14ac:dyDescent="0.25">
      <c r="A40" s="58" t="s">
        <v>270</v>
      </c>
      <c r="B40" s="195">
        <f t="shared" ref="B40:G40" si="71">J18/J29</f>
        <v>0.44990817864758426</v>
      </c>
      <c r="C40" s="195">
        <f t="shared" si="71"/>
        <v>0.41414797628308714</v>
      </c>
      <c r="D40" s="195">
        <f t="shared" si="71"/>
        <v>0.49315738797031722</v>
      </c>
      <c r="E40" s="195">
        <f t="shared" si="71"/>
        <v>0.30868258087304939</v>
      </c>
      <c r="F40" s="195">
        <f t="shared" si="71"/>
        <v>0.43400775587760737</v>
      </c>
      <c r="G40" s="195">
        <f t="shared" si="71"/>
        <v>0.39988208613023368</v>
      </c>
      <c r="I40" s="74" t="s">
        <v>205</v>
      </c>
      <c r="J40" s="101">
        <f>('A-3'!$N$68-'A-3'!$I$68)*IF($I$3="Pesos Corrientes",1,(1+SUMIF(ipc[ano],J$4,ipc[ipc_acumulado])))</f>
        <v>9.3872187374741998</v>
      </c>
      <c r="K40" s="101">
        <f>('A-2'!$N$68-'A-2'!$I$68)*IF($I$3="Pesos Corrientes",1,(1+SUMIF(ipc[ano],K$4,ipc[ipc_acumulado])))</f>
        <v>8.9191804976999993</v>
      </c>
      <c r="L40" s="101">
        <f>('A-1'!$N$68-'A-1'!$I$68)*IF($I$3="Pesos Corrientes",1,(1+SUMIF(ipc[ano],L$4,ipc[ipc_acumulado])))</f>
        <v>8.0176239999999996</v>
      </c>
      <c r="M40" s="101">
        <f>'A-0'!$DK$68-'A-0'!$BW$68</f>
        <v>7.3617767847931308</v>
      </c>
      <c r="N40" s="101">
        <f>'A-0'!$DL$68-'A-0'!$CD$68-2</f>
        <v>7.9868751517322458</v>
      </c>
      <c r="O40" s="304">
        <v>9</v>
      </c>
      <c r="P40" s="93">
        <f t="shared" si="68"/>
        <v>1.1268487148003086</v>
      </c>
      <c r="S40" s="463" t="s">
        <v>420</v>
      </c>
      <c r="T40" s="461">
        <v>0</v>
      </c>
      <c r="U40" s="271"/>
      <c r="V40" s="272">
        <v>145</v>
      </c>
      <c r="W40" s="462">
        <f>O32-(O32/(1+T40))</f>
        <v>0</v>
      </c>
      <c r="AD40" s="3"/>
    </row>
    <row r="41" spans="1:30" ht="15.75" thickBot="1" x14ac:dyDescent="0.3">
      <c r="A41" s="57" t="s">
        <v>271</v>
      </c>
      <c r="B41" s="193">
        <f t="shared" ref="B41:G41" si="72">J21/J29</f>
        <v>-2.7671311460198203E-2</v>
      </c>
      <c r="C41" s="193">
        <f t="shared" si="72"/>
        <v>2.225093334551358E-3</v>
      </c>
      <c r="D41" s="193">
        <f t="shared" si="72"/>
        <v>0</v>
      </c>
      <c r="E41" s="193">
        <f t="shared" si="72"/>
        <v>5.6861676077228189E-2</v>
      </c>
      <c r="F41" s="193">
        <f t="shared" si="72"/>
        <v>2.1217162719971608E-2</v>
      </c>
      <c r="G41" s="193">
        <f t="shared" si="72"/>
        <v>3.7359763822183041E-2</v>
      </c>
      <c r="I41" s="74" t="s">
        <v>109</v>
      </c>
      <c r="J41" s="101">
        <f t="shared" ref="J41:K41" si="73">SUM(J42:J48)</f>
        <v>602.66492596006003</v>
      </c>
      <c r="K41" s="101">
        <f t="shared" si="73"/>
        <v>671.60735097405768</v>
      </c>
      <c r="L41" s="101">
        <f t="shared" ref="L41:M41" si="74">SUM(L42:L48)</f>
        <v>881.97177599999998</v>
      </c>
      <c r="M41" s="101">
        <f t="shared" si="74"/>
        <v>752.43561802974591</v>
      </c>
      <c r="N41" s="101">
        <f>SUM(N42:N48)</f>
        <v>695.31815488702364</v>
      </c>
      <c r="O41" s="101">
        <v>726</v>
      </c>
      <c r="P41" s="93">
        <f t="shared" si="68"/>
        <v>1.0441263397156106</v>
      </c>
      <c r="S41" s="496"/>
      <c r="T41" s="497"/>
      <c r="U41" s="451"/>
      <c r="V41" s="452"/>
      <c r="W41" s="498"/>
      <c r="AD41" s="3"/>
    </row>
    <row r="42" spans="1:30" hidden="1" outlineLevel="1" x14ac:dyDescent="0.25">
      <c r="I42" s="96" t="s">
        <v>313</v>
      </c>
      <c r="J42" s="101">
        <f>(('A-3'!$N$48+'A-3'!$N$66)-('A-3'!$I$48-'A-3'!$I$66))*IF($I$3="Pesos Corrientes",1,(1+SUMIF(ipc[ano],J$4,ipc[ipc_acumulado])))</f>
        <v>290.36883422231978</v>
      </c>
      <c r="K42" s="101">
        <f>(('A-2'!$N$48+'A-2'!$N$66)-('A-2'!$I$48-'A-2'!$I$66))*IF($I$3="Pesos Corrientes",1,(1+SUMIF(ipc[ano],K$4,ipc[ipc_acumulado])))</f>
        <v>732.88169159955748</v>
      </c>
      <c r="L42" s="101">
        <f>(('A-1'!$N$48+'A-1'!$N$66)-('A-1'!$I$48-'A-1'!$I$66))*IF($I$3="Pesos Corrientes",1,(1+SUMIF(ipc[ano],L$4,ipc[ipc_acumulado])))</f>
        <v>800.92204600000002</v>
      </c>
      <c r="M42" s="101">
        <f>('A-0'!$DK$48+'A-0'!$DK$66)-('A-0'!$BW$48-'A-0'!$BW$66)</f>
        <v>604.27538102974586</v>
      </c>
      <c r="N42" s="101">
        <f>('A-0'!$DL$48+'A-0'!$DL$66)-('A-0'!$CD$48-'A-0'!$CD$66)</f>
        <v>545.80322159882371</v>
      </c>
      <c r="O42" s="101">
        <f>N42*(1+T64)</f>
        <v>545.80322159882371</v>
      </c>
      <c r="P42" s="93">
        <f t="shared" si="68"/>
        <v>1</v>
      </c>
    </row>
    <row r="43" spans="1:30" hidden="1" outlineLevel="1" x14ac:dyDescent="0.25">
      <c r="I43" s="96" t="s">
        <v>297</v>
      </c>
      <c r="J43" s="101">
        <f>('A-3'!$N$47-'A-3'!$I$47+'A-3'!$I$63)*IF($I$3="Pesos Corrientes",1,(1+SUMIF(ipc[ano],J$4,ipc[ipc_acumulado])))-SUM(J42,J44:J48,J51)</f>
        <v>176.63650445504879</v>
      </c>
      <c r="K43" s="101">
        <f>('A-2'!$N$47-'A-2'!$I$47+'A-2'!$I$63)*IF($I$3="Pesos Corrientes",1,(1+SUMIF(ipc[ano],K$4,ipc[ipc_acumulado])))-SUM(K42,K44:K48,K51)</f>
        <v>-222.06540449609975</v>
      </c>
      <c r="L43" s="101">
        <f>(('A-1'!$N$47-'A-1'!$I$47+'A-1'!$I$63)-SUM(L42,L44:L48,L51))*IF($I$3="Pesos Corrientes",1,(1+SUMIF(ipc[ano],L$4,ipc[ipc_acumulado])))</f>
        <v>-67.629081000000042</v>
      </c>
      <c r="M43" s="101">
        <f>('A-0'!$DK$47-'A-0'!$BW$47+'A-0'!$BW$63)-SUM(M42,M44:M48,M51)</f>
        <v>11.71697800000004</v>
      </c>
      <c r="N43" s="101">
        <f>('A-0'!$DL$47-'A-0'!$CD$47+'A-0'!$CD$63)-SUM(N42,N44:N48,N51)</f>
        <v>24.603071395599841</v>
      </c>
      <c r="O43" s="101">
        <f>N43*(1+T61)</f>
        <v>24.603071395599841</v>
      </c>
      <c r="P43" s="93">
        <f t="shared" si="68"/>
        <v>1</v>
      </c>
      <c r="AD43" s="3"/>
    </row>
    <row r="44" spans="1:30" hidden="1" outlineLevel="1" x14ac:dyDescent="0.25">
      <c r="I44" s="96" t="s">
        <v>298</v>
      </c>
      <c r="J44" s="101">
        <f>('A-3'!$N$55-'A-3'!$I$55)*IF($I$3="Pesos Corrientes",1,(1+SUMIF(ipc[ano],J$4,ipc[ipc_acumulado])))</f>
        <v>33.9082545094344</v>
      </c>
      <c r="K44" s="101">
        <f>('A-2'!$N$55-'A-2'!$I$55)*IF($I$3="Pesos Corrientes",1,(1+SUMIF(ipc[ano],K$4,ipc[ipc_acumulado])))</f>
        <v>35.5202507196</v>
      </c>
      <c r="L44" s="101">
        <f>('A-1'!$N$55-'A-1'!$I$55)*IF($I$3="Pesos Corrientes",1,(1+SUMIF(ipc[ano],L$4,ipc[ipc_acumulado])))</f>
        <v>30.630747999999997</v>
      </c>
      <c r="M44" s="101">
        <f>'A-0'!$DK$55-'A-0'!$BW$55</f>
        <v>23.619176000000003</v>
      </c>
      <c r="N44" s="101">
        <f>'A-0'!$DL$55-'A-0'!$CD$55</f>
        <v>23.619177999999998</v>
      </c>
      <c r="O44" s="101">
        <f>N44</f>
        <v>23.619177999999998</v>
      </c>
      <c r="P44" s="93">
        <f t="shared" si="68"/>
        <v>1</v>
      </c>
      <c r="AD44" s="3"/>
    </row>
    <row r="45" spans="1:30" hidden="1" outlineLevel="1" x14ac:dyDescent="0.25">
      <c r="I45" s="96" t="s">
        <v>299</v>
      </c>
      <c r="J45" s="101">
        <f>(('A-3'!$N$57+'A-3'!$N$58)-('A-3'!$I$57+'A-3'!$I$58))*IF($I$3="Pesos Corrientes",1,(1+SUMIF(ipc[ano],J$4,ipc[ipc_acumulado])))</f>
        <v>41.3697793877568</v>
      </c>
      <c r="K45" s="101">
        <f>(('A-2'!$N$57+'A-2'!$N$58)-('A-2'!$I$57+'A-2'!$I$58))*IF($I$3="Pesos Corrientes",1,(1+SUMIF(ipc[ano],K$4,ipc[ipc_acumulado])))</f>
        <v>57.267184651199997</v>
      </c>
      <c r="L45" s="101">
        <f>(('A-1'!$N$57+'A-1'!$N$58)-('A-1'!$I$57+'A-1'!$I$58))*IF($I$3="Pesos Corrientes",1,(1+SUMIF(ipc[ano],L$4,ipc[ipc_acumulado])))</f>
        <v>54.463574999999992</v>
      </c>
      <c r="M45" s="101">
        <f>('A-0'!$DK$57+'A-0'!$DK$58)-('A-0'!$BW$57+'A-0'!$BW$58)</f>
        <v>60.275726000000006</v>
      </c>
      <c r="N45" s="101">
        <f>('A-0'!$DL$57+'A-0'!$DL$58)-('A-0'!$CD$57+'A-0'!$CD$58)</f>
        <v>60.283807192600001</v>
      </c>
      <c r="O45" s="101">
        <f>N45</f>
        <v>60.283807192600001</v>
      </c>
      <c r="P45" s="93">
        <f t="shared" si="68"/>
        <v>1</v>
      </c>
    </row>
    <row r="46" spans="1:30" hidden="1" outlineLevel="1" x14ac:dyDescent="0.25">
      <c r="I46" s="96" t="s">
        <v>300</v>
      </c>
      <c r="J46" s="101">
        <f>('A-3'!$N$59-'A-3'!$I$59)*IF($I$3="Pesos Corrientes",1,(1+SUMIF(ipc[ano],J$4,ipc[ipc_acumulado])))</f>
        <v>13.0955717150208</v>
      </c>
      <c r="K46" s="101">
        <f>('A-2'!$N$59-'A-2'!$I$59)*IF($I$3="Pesos Corrientes",1,(1+SUMIF(ipc[ano],K$4,ipc[ipc_acumulado])))</f>
        <v>14.087274414299999</v>
      </c>
      <c r="L46" s="101">
        <f>('A-1'!$N$59-'A-1'!$I$59)*IF($I$3="Pesos Corrientes",1,(1+SUMIF(ipc[ano],L$4,ipc[ipc_acumulado])))</f>
        <v>21.309317</v>
      </c>
      <c r="M46" s="101">
        <f>'A-0'!$DK$59-'A-0'!$BW$59</f>
        <v>15.895991</v>
      </c>
      <c r="N46" s="101">
        <f>'A-0'!$DL$59-'A-0'!$CD$59</f>
        <v>15.895991500000001</v>
      </c>
      <c r="O46" s="101">
        <f>N46</f>
        <v>15.895991500000001</v>
      </c>
      <c r="P46" s="93">
        <f t="shared" si="68"/>
        <v>1</v>
      </c>
    </row>
    <row r="47" spans="1:30" hidden="1" outlineLevel="1" x14ac:dyDescent="0.25">
      <c r="I47" s="96" t="s">
        <v>301</v>
      </c>
      <c r="J47" s="101">
        <f>('A-3'!$N$62-'A-3'!$I$62)*IF($I$3="Pesos Corrientes",1,(1+SUMIF(ipc[ano],J$4,ipc[ipc_acumulado])))</f>
        <v>14.339976596386201</v>
      </c>
      <c r="K47" s="101">
        <f>('A-2'!$N$62-'A-2'!$I$62)*IF($I$3="Pesos Corrientes",1,(1+SUMIF(ipc[ano],K$4,ipc[ipc_acumulado])))</f>
        <v>26.836547332499997</v>
      </c>
      <c r="L47" s="101">
        <f>('A-1'!$N$62-'A-1'!$I$62)*IF($I$3="Pesos Corrientes",1,(1+SUMIF(ipc[ano],L$4,ipc[ipc_acumulado])))</f>
        <v>36.088670999999998</v>
      </c>
      <c r="M47" s="101">
        <f>'A-0'!$DK$62-'A-0'!$BW$62</f>
        <v>31.5</v>
      </c>
      <c r="N47" s="101">
        <f>'A-0'!$DL$62-'A-0'!$CD$62</f>
        <v>20.752885200000001</v>
      </c>
      <c r="O47" s="101">
        <f>N47</f>
        <v>20.752885200000001</v>
      </c>
      <c r="P47" s="93">
        <f t="shared" si="68"/>
        <v>1</v>
      </c>
    </row>
    <row r="48" spans="1:30" hidden="1" outlineLevel="1" x14ac:dyDescent="0.25">
      <c r="I48" s="96" t="s">
        <v>428</v>
      </c>
      <c r="J48" s="101">
        <f>(('A-3'!$N$60+'A-3'!$N$54+'A-3'!$N$61)-('A-3'!$I$60+'A-3'!$I$54+'A-3'!$I$61))*IF($I$3="Pesos Corrientes",1,(1+SUMIF(ipc[ano],J$4,ipc[ipc_acumulado])))</f>
        <v>32.9460050740932</v>
      </c>
      <c r="K48" s="101">
        <f>(('A-2'!$N$60+'A-2'!$N$54+'A-2'!$N$61)-('A-2'!$I$60+'A-2'!$I$54+'A-2'!$I$61))*IF($I$3="Pesos Corrientes",1,(1+SUMIF(ipc[ano],K$4,ipc[ipc_acumulado])))</f>
        <v>27.07980675300001</v>
      </c>
      <c r="L48" s="101">
        <f>(('A-1'!$N$60+'A-1'!$N$54+'A-1'!$N$61)-('A-1'!$I$60+'A-1'!$I$54+'A-1'!$I$61))*IF($I$3="Pesos Corrientes",1,(1+SUMIF(ipc[ano],L$4,ipc[ipc_acumulado])))</f>
        <v>6.1864999999999997</v>
      </c>
      <c r="M48" s="101">
        <f>('A-0'!$DK$60+'A-0'!$DK$54+'A-0'!$DK$61)-('A-0'!$BW$60+'A-0'!$BW$54+'A-0'!$BW$61)</f>
        <v>5.1523659999999989</v>
      </c>
      <c r="N48" s="101">
        <f>('A-0'!$DL$60+'A-0'!$DL$54+'A-0'!$DL$61)-('A-0'!$CD$60+'A-0'!$CD$54+'A-0'!$CD$61)</f>
        <v>4.3600000000000003</v>
      </c>
      <c r="O48" s="101">
        <f>N48*(1+T66)</f>
        <v>4.3600000000000003</v>
      </c>
      <c r="P48" s="93">
        <f t="shared" si="68"/>
        <v>1</v>
      </c>
    </row>
    <row r="49" spans="1:23" collapsed="1" x14ac:dyDescent="0.25">
      <c r="A49" s="58" t="s">
        <v>272</v>
      </c>
      <c r="B49" s="195">
        <f t="shared" ref="B49:G49" si="75">J22/J29</f>
        <v>0</v>
      </c>
      <c r="C49" s="195">
        <f t="shared" si="75"/>
        <v>0</v>
      </c>
      <c r="D49" s="195">
        <f t="shared" si="75"/>
        <v>0</v>
      </c>
      <c r="E49" s="195">
        <f t="shared" si="75"/>
        <v>5.7750862578181961E-2</v>
      </c>
      <c r="F49" s="195">
        <f t="shared" si="75"/>
        <v>0</v>
      </c>
      <c r="G49" s="195">
        <f t="shared" si="75"/>
        <v>1.0493227663795649E-2</v>
      </c>
      <c r="I49" s="74" t="s">
        <v>302</v>
      </c>
      <c r="J49" s="75">
        <f>('A-3'!$I$73+'A-3'!$I$85-'A-3'!$I$63)*IF($I$3="Pesos Corrientes",1,(1+SUMIF(ipc[ano],J$4,ipc[ipc_acumulado])))</f>
        <v>833.95283441968093</v>
      </c>
      <c r="K49" s="75">
        <f>('A-2'!$I$73+'A-2'!$I$85-'A-2'!$I$63)*IF($I$3="Pesos Corrientes",1,(1+SUMIF(ipc[ano],K$4,ipc[ipc_acumulado])))</f>
        <v>1125.1305625910938</v>
      </c>
      <c r="L49" s="75">
        <f>('A-1'!$I$73+'A-1'!$I$85-'A-1'!$I$63)*IF($I$3="Pesos Corrientes",1,(1+SUMIF(ipc[ano],L$4,ipc[ipc_acumulado])))</f>
        <v>660.39142125000001</v>
      </c>
      <c r="M49" s="75">
        <f>'A-0'!$BW$74+'A-0'!$BW$86-'A-0'!$BW$63</f>
        <v>1267.6903318000002</v>
      </c>
      <c r="N49" s="75">
        <f>'A-0'!$CD$74+'A-0'!$CD$86-'A-0'!$CD$63</f>
        <v>882.73592988799999</v>
      </c>
      <c r="O49" s="75">
        <f>'A-0'!$CF$74+'A-0'!$CF$86-'A-0'!$CF$63+((W34-W36)-(W34*Z6))</f>
        <v>1046.5913796201303</v>
      </c>
      <c r="P49" s="93">
        <f t="shared" si="68"/>
        <v>1.1856222729632406</v>
      </c>
    </row>
    <row r="50" spans="1:23" x14ac:dyDescent="0.25">
      <c r="A50" s="57" t="s">
        <v>273</v>
      </c>
      <c r="B50" s="193">
        <f t="shared" ref="B50:G50" si="76">J23/J29</f>
        <v>1.8541922486997309E-2</v>
      </c>
      <c r="C50" s="193">
        <f t="shared" si="76"/>
        <v>1.3327581418655292E-3</v>
      </c>
      <c r="D50" s="193">
        <f t="shared" si="76"/>
        <v>1.7885146962254496E-2</v>
      </c>
      <c r="E50" s="193">
        <f t="shared" si="76"/>
        <v>1.4549899466820155E-2</v>
      </c>
      <c r="F50" s="193">
        <f t="shared" si="76"/>
        <v>2.2557723776901708E-2</v>
      </c>
      <c r="G50" s="193">
        <f t="shared" si="76"/>
        <v>2.0790806122371178E-2</v>
      </c>
      <c r="I50" s="74" t="s">
        <v>303</v>
      </c>
      <c r="J50" s="75"/>
      <c r="K50" s="75"/>
      <c r="L50" s="75"/>
      <c r="M50" s="75"/>
      <c r="N50" s="75"/>
      <c r="O50" s="75">
        <f>W60</f>
        <v>0</v>
      </c>
      <c r="P50" s="93">
        <f t="shared" si="68"/>
        <v>0</v>
      </c>
      <c r="S50" s="463" t="s">
        <v>422</v>
      </c>
      <c r="T50" s="461">
        <v>4.4999999999999998E-2</v>
      </c>
      <c r="U50" s="271"/>
      <c r="V50" s="272">
        <v>100</v>
      </c>
      <c r="W50" s="462">
        <f>O35-N35</f>
        <v>8.7999999999999829</v>
      </c>
    </row>
    <row r="51" spans="1:23" x14ac:dyDescent="0.25">
      <c r="A51" s="58" t="s">
        <v>274</v>
      </c>
      <c r="B51" s="195">
        <f t="shared" ref="B51:G51" si="77">J24/J29</f>
        <v>0.4775410022744242</v>
      </c>
      <c r="C51" s="195">
        <f t="shared" si="77"/>
        <v>0.4956310489934499</v>
      </c>
      <c r="D51" s="195">
        <f t="shared" si="77"/>
        <v>0.4287568729196149</v>
      </c>
      <c r="E51" s="195">
        <f t="shared" si="77"/>
        <v>0.51401080812282507</v>
      </c>
      <c r="F51" s="195">
        <f t="shared" si="77"/>
        <v>0.47901174379244127</v>
      </c>
      <c r="G51" s="195">
        <f t="shared" si="77"/>
        <v>0.47334756751339135</v>
      </c>
      <c r="I51" s="80" t="s">
        <v>416</v>
      </c>
      <c r="J51" s="84">
        <f>'A-3'!$N$63*IF($I$3="Pesos Corrientes",1,(1+SUMIF(ipc[ano],J$4,ipc[ipc_acumulado])))</f>
        <v>133.98244258748039</v>
      </c>
      <c r="K51" s="84">
        <f>'A-2'!$N$63*IF($I$3="Pesos Corrientes",1,(1+SUMIF(ipc[ano],K$4,ipc[ipc_acumulado])))</f>
        <v>134.19943626599999</v>
      </c>
      <c r="L51" s="84">
        <f>'A-1'!$N$63*IF($I$3="Pesos Corrientes",1,(1+SUMIF(ipc[ano],L$4,ipc[ipc_acumulado])))</f>
        <v>61.072335000000002</v>
      </c>
      <c r="M51" s="84">
        <f>'A-0'!$DK$63</f>
        <v>124.015450302549</v>
      </c>
      <c r="N51" s="84">
        <f>'A-0'!$DL$63</f>
        <v>120.31131422555438</v>
      </c>
      <c r="O51" s="84">
        <f>'A-0'!$DM$63+(W34*Z6)-5</f>
        <v>138.27672113370798</v>
      </c>
      <c r="P51" s="94">
        <f t="shared" si="68"/>
        <v>1.1493243343221473</v>
      </c>
      <c r="S51" s="463"/>
      <c r="T51" s="461"/>
      <c r="U51" s="271"/>
      <c r="V51" s="272"/>
      <c r="W51" s="462"/>
    </row>
    <row r="52" spans="1:23" x14ac:dyDescent="0.25">
      <c r="A52" s="59" t="s">
        <v>275</v>
      </c>
      <c r="B52" s="196">
        <f t="shared" ref="B52:G52" si="78">1-SUM(B38:B51)</f>
        <v>-1.067964032153812E-3</v>
      </c>
      <c r="C52" s="196">
        <f t="shared" si="78"/>
        <v>3.2345108715772342E-2</v>
      </c>
      <c r="D52" s="196">
        <f t="shared" si="78"/>
        <v>-1.6755103528627302E-3</v>
      </c>
      <c r="E52" s="196">
        <f t="shared" si="78"/>
        <v>1.3416010749750518E-2</v>
      </c>
      <c r="F52" s="196">
        <f t="shared" si="78"/>
        <v>1.314885048217429E-2</v>
      </c>
      <c r="G52" s="196">
        <f t="shared" si="78"/>
        <v>1.1597050564476574E-2</v>
      </c>
      <c r="S52" s="463" t="s">
        <v>421</v>
      </c>
      <c r="T52" s="461">
        <f>((V52)-100)/100</f>
        <v>0</v>
      </c>
      <c r="U52" s="271"/>
      <c r="V52" s="272">
        <v>100</v>
      </c>
      <c r="W52" s="462">
        <f>O36-N36</f>
        <v>35.229236504000028</v>
      </c>
    </row>
    <row r="53" spans="1:23" x14ac:dyDescent="0.25">
      <c r="I53" s="86" t="s">
        <v>304</v>
      </c>
      <c r="J53" s="87">
        <f t="shared" ref="J53:O53" si="79">J31+SUM(J35:J41,J49:J51)</f>
        <v>1995.6643924107439</v>
      </c>
      <c r="K53" s="87">
        <f t="shared" si="79"/>
        <v>2402.7016792322834</v>
      </c>
      <c r="L53" s="87">
        <f t="shared" si="79"/>
        <v>1843.5364067700002</v>
      </c>
      <c r="M53" s="87">
        <f t="shared" si="79"/>
        <v>2725.2826908396883</v>
      </c>
      <c r="N53" s="87">
        <f>N31+SUM(N35:N41,N49:N51)</f>
        <v>2216.56712485959</v>
      </c>
      <c r="O53" s="87">
        <f t="shared" si="79"/>
        <v>2483.0101739651186</v>
      </c>
      <c r="P53" s="89">
        <f t="shared" ref="P53" si="80">IFERROR(IF($P$5="py",N53/M53,O53/N53),0)</f>
        <v>1.1202052697241942</v>
      </c>
      <c r="S53" s="463"/>
      <c r="T53" s="461"/>
      <c r="U53" s="271"/>
      <c r="V53" s="272"/>
      <c r="W53" s="462"/>
    </row>
    <row r="54" spans="1:23" x14ac:dyDescent="0.25">
      <c r="A54" s="53" t="s">
        <v>276</v>
      </c>
      <c r="B54" s="54"/>
      <c r="C54" s="54"/>
      <c r="D54" s="54"/>
      <c r="E54" s="55"/>
      <c r="F54" s="55"/>
      <c r="G54" s="55"/>
      <c r="J54" s="3"/>
      <c r="K54" s="3"/>
      <c r="L54" s="3"/>
      <c r="M54" s="3"/>
      <c r="N54" s="3"/>
      <c r="O54" s="3"/>
      <c r="S54" s="463" t="s">
        <v>423</v>
      </c>
      <c r="T54" s="461">
        <f>((V54)-100)/100</f>
        <v>0</v>
      </c>
      <c r="U54" s="271"/>
      <c r="V54" s="272">
        <v>100</v>
      </c>
      <c r="W54" s="462">
        <f>O37-N37</f>
        <v>0</v>
      </c>
    </row>
    <row r="55" spans="1:23" x14ac:dyDescent="0.25">
      <c r="A55" s="60" t="s">
        <v>277</v>
      </c>
      <c r="B55" s="61">
        <f t="shared" ref="B55:G55" si="81">J31/J29</f>
        <v>4.3730393672668406E-2</v>
      </c>
      <c r="C55" s="61">
        <f t="shared" si="81"/>
        <v>4.8165973459233707E-2</v>
      </c>
      <c r="D55" s="61">
        <f t="shared" si="81"/>
        <v>3.7232539310724851E-2</v>
      </c>
      <c r="E55" s="61">
        <f t="shared" si="81"/>
        <v>8.3391464028792023E-2</v>
      </c>
      <c r="F55" s="61">
        <f t="shared" si="81"/>
        <v>8.6757081050763782E-2</v>
      </c>
      <c r="G55" s="61">
        <f t="shared" si="81"/>
        <v>7.4370248663833974E-2</v>
      </c>
      <c r="I55" s="86" t="s">
        <v>305</v>
      </c>
      <c r="J55" s="87">
        <f t="shared" ref="J55:O55" si="82">J29-J53</f>
        <v>611.83161809757712</v>
      </c>
      <c r="K55" s="87">
        <f t="shared" si="82"/>
        <v>250.46387941171952</v>
      </c>
      <c r="L55" s="87">
        <f t="shared" si="82"/>
        <v>173.22085422000009</v>
      </c>
      <c r="M55" s="87">
        <f t="shared" si="82"/>
        <v>264.4286882112915</v>
      </c>
      <c r="N55" s="87">
        <f>N29-N53</f>
        <v>288.19756500046515</v>
      </c>
      <c r="O55" s="87">
        <f t="shared" si="82"/>
        <v>356.91677270904074</v>
      </c>
      <c r="P55" s="89">
        <f>IFERROR(IF($P$5="py",N55/M55,O55/N55),0)</f>
        <v>1.238444789457068</v>
      </c>
      <c r="S55" s="463"/>
      <c r="T55" s="461"/>
      <c r="U55" s="271"/>
      <c r="V55" s="272"/>
      <c r="W55" s="462"/>
    </row>
    <row r="56" spans="1:23" x14ac:dyDescent="0.25">
      <c r="A56" s="29" t="s">
        <v>377</v>
      </c>
      <c r="B56" s="62">
        <f t="shared" ref="B56:G56" si="83">(J53-J31-J41)/J29</f>
        <v>0.49049840699925445</v>
      </c>
      <c r="C56" s="62">
        <f t="shared" si="83"/>
        <v>0.60429776843517136</v>
      </c>
      <c r="D56" s="62">
        <f t="shared" si="83"/>
        <v>0.43955494987772636</v>
      </c>
      <c r="E56" s="62">
        <f t="shared" si="83"/>
        <v>0.57648730775960066</v>
      </c>
      <c r="F56" s="62">
        <f t="shared" si="83"/>
        <v>0.52058498829849742</v>
      </c>
      <c r="G56" s="62">
        <f t="shared" si="83"/>
        <v>0.54431121989392406</v>
      </c>
      <c r="I56" s="97" t="s">
        <v>213</v>
      </c>
      <c r="J56" s="98">
        <f t="shared" ref="J56:O56" si="84">IFERROR(J55/J29,0)</f>
        <v>0.23464335731746833</v>
      </c>
      <c r="K56" s="98">
        <f t="shared" si="84"/>
        <v>9.4401903641372548E-2</v>
      </c>
      <c r="L56" s="98">
        <f t="shared" si="84"/>
        <v>8.5890780001440625E-2</v>
      </c>
      <c r="M56" s="98">
        <f t="shared" si="84"/>
        <v>8.8446225968216621E-2</v>
      </c>
      <c r="N56" s="98">
        <f t="shared" si="84"/>
        <v>0.11505973641642447</v>
      </c>
      <c r="O56" s="98">
        <f t="shared" si="84"/>
        <v>0.1256781527873547</v>
      </c>
      <c r="S56" s="463" t="s">
        <v>424</v>
      </c>
      <c r="T56" s="461">
        <f>((V56)-100)/100</f>
        <v>0</v>
      </c>
      <c r="U56" s="271"/>
      <c r="V56" s="272">
        <v>100</v>
      </c>
      <c r="W56" s="462">
        <f>O38-N38</f>
        <v>13</v>
      </c>
    </row>
    <row r="57" spans="1:23" x14ac:dyDescent="0.25">
      <c r="A57" s="63" t="s">
        <v>278</v>
      </c>
      <c r="B57" s="64">
        <f t="shared" ref="B57:G57" si="85">J50/J29</f>
        <v>0</v>
      </c>
      <c r="C57" s="64">
        <f t="shared" si="85"/>
        <v>0</v>
      </c>
      <c r="D57" s="64">
        <f t="shared" si="85"/>
        <v>0</v>
      </c>
      <c r="E57" s="64">
        <f t="shared" si="85"/>
        <v>0</v>
      </c>
      <c r="F57" s="64">
        <f t="shared" si="85"/>
        <v>0</v>
      </c>
      <c r="G57" s="64">
        <f t="shared" si="85"/>
        <v>0</v>
      </c>
      <c r="S57" s="463"/>
      <c r="T57" s="461"/>
      <c r="U57" s="271"/>
      <c r="V57" s="272"/>
      <c r="W57" s="462"/>
    </row>
    <row r="58" spans="1:23" x14ac:dyDescent="0.25">
      <c r="A58" s="29" t="s">
        <v>279</v>
      </c>
      <c r="B58" s="62">
        <f t="shared" ref="B58:G58" si="86">J41/J29</f>
        <v>0.23112784201060882</v>
      </c>
      <c r="C58" s="62">
        <f t="shared" si="86"/>
        <v>0.25313435446422239</v>
      </c>
      <c r="D58" s="62">
        <f t="shared" si="86"/>
        <v>0.43732173081010817</v>
      </c>
      <c r="E58" s="62">
        <f t="shared" si="86"/>
        <v>0.25167500224339068</v>
      </c>
      <c r="F58" s="62">
        <f t="shared" si="86"/>
        <v>0.27759819423431431</v>
      </c>
      <c r="G58" s="62">
        <f t="shared" si="86"/>
        <v>0.25564037865488731</v>
      </c>
      <c r="S58" s="463" t="s">
        <v>425</v>
      </c>
      <c r="T58" s="461">
        <f>((V58)-100)/100</f>
        <v>0</v>
      </c>
      <c r="U58" s="271"/>
      <c r="V58" s="272">
        <v>100</v>
      </c>
      <c r="W58" s="462">
        <f>O39-N39</f>
        <v>1.997986</v>
      </c>
    </row>
    <row r="59" spans="1:23" x14ac:dyDescent="0.25">
      <c r="A59" s="197" t="s">
        <v>280</v>
      </c>
      <c r="B59" s="198">
        <f t="shared" ref="B59:G59" si="87">J55/J29</f>
        <v>0.23464335731746833</v>
      </c>
      <c r="C59" s="198">
        <f t="shared" si="87"/>
        <v>9.4401903641372548E-2</v>
      </c>
      <c r="D59" s="198">
        <f t="shared" si="87"/>
        <v>8.5890780001440625E-2</v>
      </c>
      <c r="E59" s="198">
        <f t="shared" si="87"/>
        <v>8.8446225968216621E-2</v>
      </c>
      <c r="F59" s="198">
        <f t="shared" si="87"/>
        <v>0.11505973641642447</v>
      </c>
      <c r="G59" s="198">
        <f t="shared" si="87"/>
        <v>0.1256781527873547</v>
      </c>
      <c r="S59" s="495"/>
      <c r="T59" s="492"/>
      <c r="U59" s="228"/>
      <c r="V59" s="232"/>
      <c r="W59" s="494"/>
    </row>
    <row r="60" spans="1:23" x14ac:dyDescent="0.25">
      <c r="S60" s="499" t="s">
        <v>430</v>
      </c>
      <c r="T60" s="501">
        <v>0</v>
      </c>
      <c r="U60" s="273"/>
      <c r="V60" s="503"/>
      <c r="W60" s="494"/>
    </row>
    <row r="61" spans="1:23" ht="15.75" thickBot="1" x14ac:dyDescent="0.3">
      <c r="S61" s="500"/>
      <c r="T61" s="502"/>
      <c r="U61" s="264"/>
      <c r="V61" s="504"/>
      <c r="W61" s="473"/>
    </row>
    <row r="63" spans="1:23" ht="15.75" thickBot="1" x14ac:dyDescent="0.3">
      <c r="S63" s="2" t="s">
        <v>426</v>
      </c>
    </row>
    <row r="64" spans="1:23" x14ac:dyDescent="0.25">
      <c r="S64" s="464" t="s">
        <v>427</v>
      </c>
      <c r="T64" s="505">
        <f>((V64)-100)/100</f>
        <v>0</v>
      </c>
      <c r="U64" s="226"/>
      <c r="V64" s="230">
        <v>100</v>
      </c>
      <c r="W64" s="471">
        <f>O42-N42</f>
        <v>0</v>
      </c>
    </row>
    <row r="65" spans="19:23" ht="15.75" thickBot="1" x14ac:dyDescent="0.3">
      <c r="S65" s="465"/>
      <c r="T65" s="493"/>
      <c r="U65" s="229"/>
      <c r="V65" s="233"/>
      <c r="W65" s="473"/>
    </row>
    <row r="66" spans="19:23" x14ac:dyDescent="0.25">
      <c r="S66" s="495" t="s">
        <v>429</v>
      </c>
      <c r="T66" s="492">
        <f>((V66)-100)/100</f>
        <v>0</v>
      </c>
      <c r="U66" s="228"/>
      <c r="V66" s="232">
        <v>100</v>
      </c>
      <c r="W66" s="494">
        <f>O48-N48</f>
        <v>0</v>
      </c>
    </row>
    <row r="67" spans="19:23" ht="15.75" thickBot="1" x14ac:dyDescent="0.3">
      <c r="S67" s="465"/>
      <c r="T67" s="493"/>
      <c r="U67" s="229"/>
      <c r="V67" s="233"/>
      <c r="W67" s="473"/>
    </row>
  </sheetData>
  <mergeCells count="81">
    <mergeCell ref="S60:S61"/>
    <mergeCell ref="T60:T61"/>
    <mergeCell ref="W60:W61"/>
    <mergeCell ref="V60:V61"/>
    <mergeCell ref="S64:S65"/>
    <mergeCell ref="T64:T65"/>
    <mergeCell ref="W64:W65"/>
    <mergeCell ref="S66:S67"/>
    <mergeCell ref="T66:T67"/>
    <mergeCell ref="W66:W67"/>
    <mergeCell ref="S40:S41"/>
    <mergeCell ref="T40:T41"/>
    <mergeCell ref="W40:W41"/>
    <mergeCell ref="S50:S51"/>
    <mergeCell ref="T50:T51"/>
    <mergeCell ref="W50:W51"/>
    <mergeCell ref="S52:S53"/>
    <mergeCell ref="T52:T53"/>
    <mergeCell ref="W52:W53"/>
    <mergeCell ref="S58:S59"/>
    <mergeCell ref="T58:T59"/>
    <mergeCell ref="W58:W59"/>
    <mergeCell ref="S54:S55"/>
    <mergeCell ref="R16:R19"/>
    <mergeCell ref="S16:S17"/>
    <mergeCell ref="T16:T17"/>
    <mergeCell ref="W16:W17"/>
    <mergeCell ref="S18:S19"/>
    <mergeCell ref="T18:T19"/>
    <mergeCell ref="W18:W19"/>
    <mergeCell ref="R11:R14"/>
    <mergeCell ref="S11:S12"/>
    <mergeCell ref="T11:T12"/>
    <mergeCell ref="W11:W12"/>
    <mergeCell ref="S13:S14"/>
    <mergeCell ref="T13:T14"/>
    <mergeCell ref="W13:W14"/>
    <mergeCell ref="S6:S7"/>
    <mergeCell ref="T6:T7"/>
    <mergeCell ref="S8:S9"/>
    <mergeCell ref="T8:T9"/>
    <mergeCell ref="W6:W7"/>
    <mergeCell ref="W8:W9"/>
    <mergeCell ref="B3:B4"/>
    <mergeCell ref="C3:C4"/>
    <mergeCell ref="D3:D4"/>
    <mergeCell ref="E3:E4"/>
    <mergeCell ref="R6:R9"/>
    <mergeCell ref="F3:F4"/>
    <mergeCell ref="G3:G4"/>
    <mergeCell ref="R34:R36"/>
    <mergeCell ref="V34:V35"/>
    <mergeCell ref="W32:W33"/>
    <mergeCell ref="Y6:Y7"/>
    <mergeCell ref="Z6:Z7"/>
    <mergeCell ref="R21:R33"/>
    <mergeCell ref="S21:S22"/>
    <mergeCell ref="T21:T22"/>
    <mergeCell ref="W21:W22"/>
    <mergeCell ref="S24:S25"/>
    <mergeCell ref="T24:T25"/>
    <mergeCell ref="V24:V25"/>
    <mergeCell ref="W24:W25"/>
    <mergeCell ref="S27:S28"/>
    <mergeCell ref="T27:T28"/>
    <mergeCell ref="W27:W28"/>
    <mergeCell ref="Y8:Y9"/>
    <mergeCell ref="Z8:Z9"/>
    <mergeCell ref="S34:S35"/>
    <mergeCell ref="T34:T35"/>
    <mergeCell ref="W34:W35"/>
    <mergeCell ref="S30:S31"/>
    <mergeCell ref="T30:T31"/>
    <mergeCell ref="W30:W31"/>
    <mergeCell ref="S32:S33"/>
    <mergeCell ref="T32:T33"/>
    <mergeCell ref="T54:T55"/>
    <mergeCell ref="W54:W55"/>
    <mergeCell ref="S56:S57"/>
    <mergeCell ref="T56:T57"/>
    <mergeCell ref="W56:W57"/>
  </mergeCells>
  <conditionalFormatting sqref="I3">
    <cfRule type="expression" dxfId="108" priority="10">
      <formula>IF($I$3="Pesos Corrientes",1,0)</formula>
    </cfRule>
  </conditionalFormatting>
  <conditionalFormatting sqref="W30 W37">
    <cfRule type="expression" dxfId="107" priority="3">
      <formula>IF(W30&lt;&gt;0,1,0)</formula>
    </cfRule>
  </conditionalFormatting>
  <conditionalFormatting sqref="W23">
    <cfRule type="expression" dxfId="106" priority="9">
      <formula>IF(W23&lt;&gt;0,1,0)</formula>
    </cfRule>
  </conditionalFormatting>
  <conditionalFormatting sqref="W26">
    <cfRule type="expression" dxfId="105" priority="8">
      <formula>IF(W26&lt;&gt;0,1,0)</formula>
    </cfRule>
  </conditionalFormatting>
  <conditionalFormatting sqref="W21">
    <cfRule type="expression" dxfId="104" priority="7">
      <formula>IF(W21&lt;&gt;0,1,0)</formula>
    </cfRule>
  </conditionalFormatting>
  <conditionalFormatting sqref="W29">
    <cfRule type="expression" dxfId="103" priority="6">
      <formula>IF(W29&lt;&gt;0,1,0)</formula>
    </cfRule>
  </conditionalFormatting>
  <conditionalFormatting sqref="W27">
    <cfRule type="expression" dxfId="102" priority="5">
      <formula>IF(W27&lt;&gt;0,1,0)</formula>
    </cfRule>
  </conditionalFormatting>
  <conditionalFormatting sqref="W32">
    <cfRule type="expression" dxfId="101" priority="4">
      <formula>IF(W32&lt;&gt;0,1,0)</formula>
    </cfRule>
  </conditionalFormatting>
  <conditionalFormatting sqref="W36">
    <cfRule type="expression" dxfId="100" priority="2">
      <formula>IF(W36&lt;&gt;0,1,0)</formula>
    </cfRule>
  </conditionalFormatting>
  <conditionalFormatting sqref="W34">
    <cfRule type="expression" dxfId="99" priority="1">
      <formula>IF(W34&lt;&gt;0,1,0)</formula>
    </cfRule>
  </conditionalFormatting>
  <pageMargins left="0.7" right="0.7" top="0.75" bottom="0.75" header="0.3" footer="0.3"/>
  <pageSetup paperSize="9"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71" r:id="rId4" name="Spinner 23">
              <controlPr defaultSize="0" autoPict="0">
                <anchor moveWithCells="1" sizeWithCells="1">
                  <from>
                    <xdr:col>21</xdr:col>
                    <xdr:colOff>0</xdr:colOff>
                    <xdr:row>10</xdr:row>
                    <xdr:rowOff>0</xdr:rowOff>
                  </from>
                  <to>
                    <xdr:col>22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5" name="Spinner 24">
              <controlPr defaultSize="0" autoPict="0">
                <anchor moveWithCells="1" sizeWithCells="1">
                  <from>
                    <xdr:col>21</xdr:col>
                    <xdr:colOff>0</xdr:colOff>
                    <xdr:row>12</xdr:row>
                    <xdr:rowOff>0</xdr:rowOff>
                  </from>
                  <to>
                    <xdr:col>22</xdr:col>
                    <xdr:colOff>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6" name="Spinner 25">
              <controlPr defaultSize="0" autoPict="0">
                <anchor moveWithCells="1" sizeWithCells="1">
                  <from>
                    <xdr:col>21</xdr:col>
                    <xdr:colOff>0</xdr:colOff>
                    <xdr:row>15</xdr:row>
                    <xdr:rowOff>0</xdr:rowOff>
                  </from>
                  <to>
                    <xdr:col>22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7" name="Spinner 26">
              <controlPr defaultSize="0" autoPict="0">
                <anchor moveWithCells="1" sizeWithCells="1">
                  <from>
                    <xdr:col>21</xdr:col>
                    <xdr:colOff>0</xdr:colOff>
                    <xdr:row>17</xdr:row>
                    <xdr:rowOff>0</xdr:rowOff>
                  </from>
                  <to>
                    <xdr:col>22</xdr:col>
                    <xdr:colOff>0</xdr:colOff>
                    <xdr:row>18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8" name="Spinner 68">
              <controlPr defaultSize="0" autoPict="0">
                <anchor moveWithCells="1" sizeWithCells="1">
                  <from>
                    <xdr:col>21</xdr:col>
                    <xdr:colOff>0</xdr:colOff>
                    <xdr:row>25</xdr:row>
                    <xdr:rowOff>0</xdr:rowOff>
                  </from>
                  <to>
                    <xdr:col>22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9" name="Spinner 69">
              <controlPr defaultSize="0" autoPict="0">
                <anchor moveWithCells="1" sizeWithCells="1">
                  <from>
                    <xdr:col>21</xdr:col>
                    <xdr:colOff>0</xdr:colOff>
                    <xdr:row>26</xdr:row>
                    <xdr:rowOff>0</xdr:rowOff>
                  </from>
                  <to>
                    <xdr:col>22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10" name="Spinner 70">
              <controlPr defaultSize="0" autoPict="0">
                <anchor moveWithCells="1" sizeWithCells="1">
                  <from>
                    <xdr:col>21</xdr:col>
                    <xdr:colOff>0</xdr:colOff>
                    <xdr:row>28</xdr:row>
                    <xdr:rowOff>0</xdr:rowOff>
                  </from>
                  <to>
                    <xdr:col>22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11" name="Spinner 71">
              <controlPr defaultSize="0" autoPict="0">
                <anchor moveWithCells="1" sizeWithCells="1">
                  <from>
                    <xdr:col>21</xdr:col>
                    <xdr:colOff>0</xdr:colOff>
                    <xdr:row>29</xdr:row>
                    <xdr:rowOff>0</xdr:rowOff>
                  </from>
                  <to>
                    <xdr:col>22</xdr:col>
                    <xdr:colOff>0</xdr:colOff>
                    <xdr:row>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12" name="Spinner 72">
              <controlPr defaultSize="0" autoPict="0">
                <anchor moveWithCells="1" sizeWithCells="1">
                  <from>
                    <xdr:col>21</xdr:col>
                    <xdr:colOff>0</xdr:colOff>
                    <xdr:row>31</xdr:row>
                    <xdr:rowOff>0</xdr:rowOff>
                  </from>
                  <to>
                    <xdr:col>22</xdr:col>
                    <xdr:colOff>0</xdr:colOff>
                    <xdr:row>32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13" name="Spinner 42">
              <controlPr defaultSize="0" autoPict="0">
                <anchor moveWithCells="1" sizeWithCells="1">
                  <from>
                    <xdr:col>21</xdr:col>
                    <xdr:colOff>0</xdr:colOff>
                    <xdr:row>20</xdr:row>
                    <xdr:rowOff>0</xdr:rowOff>
                  </from>
                  <to>
                    <xdr:col>22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14" name="Spinner 49">
              <controlPr defaultSize="0" autoPict="0">
                <anchor moveWithCells="1" sizeWithCells="1">
                  <from>
                    <xdr:col>21</xdr:col>
                    <xdr:colOff>0</xdr:colOff>
                    <xdr:row>22</xdr:row>
                    <xdr:rowOff>0</xdr:rowOff>
                  </from>
                  <to>
                    <xdr:col>22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15" name="Spinner 74">
              <controlPr defaultSize="0" autoPict="0">
                <anchor moveWithCells="1" sizeWithCells="1">
                  <from>
                    <xdr:col>21</xdr:col>
                    <xdr:colOff>0</xdr:colOff>
                    <xdr:row>35</xdr:row>
                    <xdr:rowOff>0</xdr:rowOff>
                  </from>
                  <to>
                    <xdr:col>22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16" name="Spinner 54">
              <controlPr defaultSize="0" autoPict="0">
                <anchor moveWithCells="1" sizeWithCells="1">
                  <from>
                    <xdr:col>27</xdr:col>
                    <xdr:colOff>0</xdr:colOff>
                    <xdr:row>5</xdr:row>
                    <xdr:rowOff>0</xdr:rowOff>
                  </from>
                  <to>
                    <xdr:col>28</xdr:col>
                    <xdr:colOff>0</xdr:colOff>
                    <xdr:row>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17" name="Spinner 75">
              <controlPr defaultSize="0" autoPict="0">
                <anchor moveWithCells="1" sizeWithCells="1">
                  <from>
                    <xdr:col>27</xdr:col>
                    <xdr:colOff>0</xdr:colOff>
                    <xdr:row>7</xdr:row>
                    <xdr:rowOff>0</xdr:rowOff>
                  </from>
                  <to>
                    <xdr:col>28</xdr:col>
                    <xdr:colOff>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" r:id="rId18" name="Spinner 1">
              <controlPr defaultSize="0" autoPict="0">
                <anchor moveWithCells="1" sizeWithCells="1">
                  <from>
                    <xdr:col>21</xdr:col>
                    <xdr:colOff>0</xdr:colOff>
                    <xdr:row>5</xdr:row>
                    <xdr:rowOff>0</xdr:rowOff>
                  </from>
                  <to>
                    <xdr:col>22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19" name="Spinner 2">
              <controlPr defaultSize="0" autoPict="0">
                <anchor moveWithCells="1" sizeWithCells="1">
                  <from>
                    <xdr:col>21</xdr:col>
                    <xdr:colOff>0</xdr:colOff>
                    <xdr:row>7</xdr:row>
                    <xdr:rowOff>0</xdr:rowOff>
                  </from>
                  <to>
                    <xdr:col>22</xdr:col>
                    <xdr:colOff>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20" name="Spinner 77">
              <controlPr defaultSize="0" autoPict="0">
                <anchor moveWithCells="1" sizeWithCells="1">
                  <from>
                    <xdr:col>21</xdr:col>
                    <xdr:colOff>0</xdr:colOff>
                    <xdr:row>39</xdr:row>
                    <xdr:rowOff>0</xdr:rowOff>
                  </from>
                  <to>
                    <xdr:col>22</xdr:col>
                    <xdr:colOff>0</xdr:colOff>
                    <xdr:row>40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21" name="Spinner 78">
              <controlPr defaultSize="0" autoPict="0">
                <anchor moveWithCells="1" sizeWithCells="1">
                  <from>
                    <xdr:col>21</xdr:col>
                    <xdr:colOff>0</xdr:colOff>
                    <xdr:row>49</xdr:row>
                    <xdr:rowOff>0</xdr:rowOff>
                  </from>
                  <to>
                    <xdr:col>22</xdr:col>
                    <xdr:colOff>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22" name="Spinner 79">
              <controlPr defaultSize="0" autoPict="0">
                <anchor moveWithCells="1" sizeWithCells="1">
                  <from>
                    <xdr:col>21</xdr:col>
                    <xdr:colOff>0</xdr:colOff>
                    <xdr:row>51</xdr:row>
                    <xdr:rowOff>0</xdr:rowOff>
                  </from>
                  <to>
                    <xdr:col>22</xdr:col>
                    <xdr:colOff>0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23" name="Spinner 80">
              <controlPr defaultSize="0" autoPict="0">
                <anchor moveWithCells="1" sizeWithCells="1">
                  <from>
                    <xdr:col>21</xdr:col>
                    <xdr:colOff>0</xdr:colOff>
                    <xdr:row>53</xdr:row>
                    <xdr:rowOff>0</xdr:rowOff>
                  </from>
                  <to>
                    <xdr:col>22</xdr:col>
                    <xdr:colOff>0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24" name="Spinner 82">
              <controlPr defaultSize="0" autoPict="0">
                <anchor moveWithCells="1" sizeWithCells="1">
                  <from>
                    <xdr:col>21</xdr:col>
                    <xdr:colOff>0</xdr:colOff>
                    <xdr:row>55</xdr:row>
                    <xdr:rowOff>0</xdr:rowOff>
                  </from>
                  <to>
                    <xdr:col>22</xdr:col>
                    <xdr:colOff>0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25" name="Spinner 84">
              <controlPr defaultSize="0" autoPict="0">
                <anchor moveWithCells="1" sizeWithCells="1">
                  <from>
                    <xdr:col>21</xdr:col>
                    <xdr:colOff>0</xdr:colOff>
                    <xdr:row>63</xdr:row>
                    <xdr:rowOff>0</xdr:rowOff>
                  </from>
                  <to>
                    <xdr:col>22</xdr:col>
                    <xdr:colOff>0</xdr:colOff>
                    <xdr:row>64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26" name="Spinner 86">
              <controlPr defaultSize="0" autoPict="0">
                <anchor moveWithCells="1" sizeWithCells="1">
                  <from>
                    <xdr:col>21</xdr:col>
                    <xdr:colOff>0</xdr:colOff>
                    <xdr:row>65</xdr:row>
                    <xdr:rowOff>0</xdr:rowOff>
                  </from>
                  <to>
                    <xdr:col>22</xdr:col>
                    <xdr:colOff>0</xdr:colOff>
                    <xdr:row>66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27" name="Spinner 83">
              <controlPr defaultSize="0" autoPict="0">
                <anchor moveWithCells="1" sizeWithCells="1">
                  <from>
                    <xdr:col>21</xdr:col>
                    <xdr:colOff>0</xdr:colOff>
                    <xdr:row>57</xdr:row>
                    <xdr:rowOff>0</xdr:rowOff>
                  </from>
                  <to>
                    <xdr:col>22</xdr:col>
                    <xdr:colOff>0</xdr:colOff>
                    <xdr:row>58</xdr:row>
                    <xdr:rowOff>190500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212B4E5-E3BA-434A-80C9-EFB419213427}">
          <x14:formula1>
            <xm:f>variables!$I$2:$I$3</xm:f>
          </x14:formula1>
          <xm:sqref>I3</xm:sqref>
        </x14:dataValidation>
      </x14:dataValidations>
    </ext>
    <ext xmlns:x14="http://schemas.microsoft.com/office/spreadsheetml/2009/9/main" uri="{A8765BA9-456A-4dab-B4F3-ACF838C121DE}">
      <x14:slicerList>
        <x14:slicer r:id="rId28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B0063-78DA-4BD1-9CC5-60F906C91CCA}">
  <dimension ref="A1:L49"/>
  <sheetViews>
    <sheetView workbookViewId="0">
      <selection activeCell="G3" sqref="G3"/>
    </sheetView>
  </sheetViews>
  <sheetFormatPr baseColWidth="10" defaultRowHeight="15" x14ac:dyDescent="0.25"/>
  <cols>
    <col min="1" max="1" width="44.7109375" customWidth="1"/>
    <col min="8" max="8" width="26.5703125" bestFit="1" customWidth="1"/>
  </cols>
  <sheetData>
    <row r="1" spans="1:12" ht="24" customHeight="1" x14ac:dyDescent="0.25">
      <c r="A1" s="287" t="s">
        <v>1086</v>
      </c>
    </row>
    <row r="2" spans="1:12" x14ac:dyDescent="0.25">
      <c r="B2" s="69" t="s">
        <v>283</v>
      </c>
      <c r="C2" s="69" t="s">
        <v>284</v>
      </c>
      <c r="D2" s="69" t="s">
        <v>283</v>
      </c>
      <c r="E2" s="69" t="s">
        <v>285</v>
      </c>
    </row>
    <row r="3" spans="1:12" x14ac:dyDescent="0.25">
      <c r="B3" s="70">
        <v>2021</v>
      </c>
      <c r="C3" s="70">
        <v>2021</v>
      </c>
      <c r="D3" s="70">
        <v>2022</v>
      </c>
      <c r="E3" s="107" t="s">
        <v>1069</v>
      </c>
    </row>
    <row r="4" spans="1:12" s="331" customFormat="1" x14ac:dyDescent="0.25">
      <c r="B4" s="453"/>
      <c r="C4" s="453"/>
      <c r="D4" s="453"/>
      <c r="E4" s="453"/>
    </row>
    <row r="5" spans="1:12" x14ac:dyDescent="0.25">
      <c r="A5" s="71" t="s">
        <v>1070</v>
      </c>
      <c r="B5" s="72">
        <v>115.79718150000008</v>
      </c>
      <c r="C5" s="72">
        <v>83.845988862823518</v>
      </c>
      <c r="D5" s="72">
        <v>147.33114663527329</v>
      </c>
      <c r="E5" s="73">
        <v>1.7571639220131907</v>
      </c>
    </row>
    <row r="6" spans="1:12" x14ac:dyDescent="0.25">
      <c r="A6" s="74" t="s">
        <v>1071</v>
      </c>
      <c r="B6" s="75">
        <v>-11.969999999999999</v>
      </c>
      <c r="C6" s="75">
        <v>-8.5608693300000027</v>
      </c>
      <c r="D6" s="75">
        <v>-15.1907709285873</v>
      </c>
      <c r="E6" s="76">
        <v>1.7744425645365265</v>
      </c>
      <c r="I6" s="69" t="s">
        <v>283</v>
      </c>
      <c r="J6" s="69" t="s">
        <v>284</v>
      </c>
      <c r="K6" s="69" t="s">
        <v>283</v>
      </c>
      <c r="L6" s="69" t="s">
        <v>285</v>
      </c>
    </row>
    <row r="7" spans="1:12" x14ac:dyDescent="0.25">
      <c r="A7" s="77" t="s">
        <v>1074</v>
      </c>
      <c r="B7" s="78">
        <v>103.82718150000008</v>
      </c>
      <c r="C7" s="78">
        <v>75.285119532823515</v>
      </c>
      <c r="D7" s="78">
        <v>132.14037570668597</v>
      </c>
      <c r="E7" s="79">
        <v>1.7551991220399692</v>
      </c>
      <c r="I7" s="70">
        <v>2021</v>
      </c>
      <c r="J7" s="70">
        <v>2021</v>
      </c>
      <c r="K7" s="70">
        <v>2022</v>
      </c>
      <c r="L7" s="107" t="s">
        <v>1069</v>
      </c>
    </row>
    <row r="8" spans="1:12" x14ac:dyDescent="0.25">
      <c r="A8" s="80" t="s">
        <v>289</v>
      </c>
      <c r="B8" s="81">
        <v>-0.10337039161872857</v>
      </c>
      <c r="C8" s="81">
        <v>-0.10210231218103992</v>
      </c>
      <c r="D8" s="81">
        <v>-0.10310631034585596</v>
      </c>
      <c r="E8" s="82"/>
      <c r="H8" s="457" t="s">
        <v>1087</v>
      </c>
      <c r="I8" s="87">
        <v>2989.7113790509798</v>
      </c>
      <c r="J8" s="87">
        <v>2504.7646898600551</v>
      </c>
      <c r="K8" s="87">
        <v>2839.9269466741594</v>
      </c>
      <c r="L8" s="89">
        <v>1.1338098776986634</v>
      </c>
    </row>
    <row r="9" spans="1:12" x14ac:dyDescent="0.25">
      <c r="H9" s="457" t="s">
        <v>1088</v>
      </c>
      <c r="I9" s="87">
        <v>2725.2826908396883</v>
      </c>
      <c r="J9" s="87">
        <v>2216.56712485959</v>
      </c>
      <c r="K9" s="87">
        <v>2483.0101739651186</v>
      </c>
      <c r="L9" s="89">
        <v>1.1202052697241942</v>
      </c>
    </row>
    <row r="10" spans="1:12" x14ac:dyDescent="0.25">
      <c r="A10" s="71" t="s">
        <v>1072</v>
      </c>
      <c r="B10" s="99">
        <v>1029.26762168504</v>
      </c>
      <c r="C10" s="99">
        <v>1206.0215073177619</v>
      </c>
      <c r="D10" s="99">
        <v>1265.9637912852227</v>
      </c>
      <c r="E10" s="100">
        <v>1.0497024999999998</v>
      </c>
      <c r="H10" s="457" t="s">
        <v>305</v>
      </c>
      <c r="I10" s="87">
        <v>264.4286882112915</v>
      </c>
      <c r="J10" s="87">
        <v>288.19756500046515</v>
      </c>
      <c r="K10" s="87">
        <v>356.91677270904074</v>
      </c>
      <c r="L10" s="89">
        <v>1.238444789457068</v>
      </c>
    </row>
    <row r="11" spans="1:12" x14ac:dyDescent="0.25">
      <c r="A11" s="74" t="s">
        <v>1073</v>
      </c>
      <c r="B11" s="101">
        <v>-106.39579713405999</v>
      </c>
      <c r="C11" s="101">
        <v>-118.93420527012806</v>
      </c>
      <c r="D11" s="101">
        <v>-130.32787939169506</v>
      </c>
      <c r="E11" s="102">
        <v>1.0957981271719877</v>
      </c>
      <c r="H11" s="97" t="s">
        <v>213</v>
      </c>
      <c r="I11" s="98">
        <v>8.8446225968216621E-2</v>
      </c>
      <c r="J11" s="98">
        <v>0.11505973641642447</v>
      </c>
      <c r="K11" s="98">
        <v>0.1256781527873547</v>
      </c>
    </row>
    <row r="12" spans="1:12" x14ac:dyDescent="0.25">
      <c r="A12" s="77" t="s">
        <v>1075</v>
      </c>
      <c r="B12" s="103">
        <v>922.87182455098002</v>
      </c>
      <c r="C12" s="103">
        <v>1087.0873020476338</v>
      </c>
      <c r="D12" s="103">
        <v>1135.6359118935277</v>
      </c>
      <c r="E12" s="104">
        <v>1.0446593477400095</v>
      </c>
    </row>
    <row r="13" spans="1:12" x14ac:dyDescent="0.25">
      <c r="A13" s="80" t="s">
        <v>289</v>
      </c>
      <c r="B13" s="105">
        <v>-0.10337039161872862</v>
      </c>
      <c r="C13" s="105">
        <v>-9.8616985309525937E-2</v>
      </c>
      <c r="D13" s="105">
        <v>-0.10294755686446966</v>
      </c>
      <c r="E13" s="106"/>
    </row>
    <row r="14" spans="1:12" x14ac:dyDescent="0.25">
      <c r="H14">
        <v>3747.7407237180005</v>
      </c>
      <c r="I14">
        <v>3393.1153104928467</v>
      </c>
      <c r="J14">
        <v>3434.2558337081055</v>
      </c>
    </row>
    <row r="15" spans="1:12" x14ac:dyDescent="0.25">
      <c r="A15" s="71" t="s">
        <v>1076</v>
      </c>
      <c r="B15" s="72">
        <v>170</v>
      </c>
      <c r="C15" s="72">
        <v>53.144000000000005</v>
      </c>
      <c r="D15" s="72">
        <v>106.099</v>
      </c>
      <c r="E15" s="83">
        <v>1.9964436248682822</v>
      </c>
    </row>
    <row r="16" spans="1:12" x14ac:dyDescent="0.25">
      <c r="A16" s="74" t="s">
        <v>1077</v>
      </c>
      <c r="B16" s="75">
        <v>172.658411</v>
      </c>
      <c r="C16" s="75">
        <v>0</v>
      </c>
      <c r="D16" s="75">
        <v>29.8</v>
      </c>
      <c r="E16" s="305">
        <v>0</v>
      </c>
      <c r="I16" s="69" t="s">
        <v>283</v>
      </c>
      <c r="J16" s="69" t="s">
        <v>284</v>
      </c>
      <c r="K16" s="69" t="s">
        <v>283</v>
      </c>
      <c r="L16" s="69" t="s">
        <v>285</v>
      </c>
    </row>
    <row r="17" spans="1:12" x14ac:dyDescent="0.25">
      <c r="A17" s="74" t="s">
        <v>1078</v>
      </c>
      <c r="B17" s="75">
        <v>43.5</v>
      </c>
      <c r="C17" s="75">
        <v>56.50179</v>
      </c>
      <c r="D17" s="75">
        <v>59.044370549999996</v>
      </c>
      <c r="E17" s="305">
        <v>1.0449999999999999</v>
      </c>
      <c r="I17" s="70">
        <v>2021</v>
      </c>
      <c r="J17" s="70">
        <v>2021</v>
      </c>
      <c r="K17" s="70">
        <v>2022</v>
      </c>
      <c r="L17" s="107" t="s">
        <v>1069</v>
      </c>
    </row>
    <row r="18" spans="1:12" x14ac:dyDescent="0.25">
      <c r="A18" s="74" t="s">
        <v>1079</v>
      </c>
      <c r="B18" s="304">
        <v>1536.743962</v>
      </c>
      <c r="C18" s="304">
        <v>1199.8117018795983</v>
      </c>
      <c r="D18" s="304">
        <v>1344.2725121239459</v>
      </c>
      <c r="E18" s="305">
        <v>1.120402901570337</v>
      </c>
      <c r="H18" s="457" t="s">
        <v>1087</v>
      </c>
      <c r="I18" s="87"/>
      <c r="J18" s="87"/>
      <c r="K18" s="87"/>
      <c r="L18" s="89"/>
    </row>
    <row r="19" spans="1:12" x14ac:dyDescent="0.25">
      <c r="A19" s="74" t="s">
        <v>1080</v>
      </c>
      <c r="B19" s="304">
        <v>40.109999999999673</v>
      </c>
      <c r="C19" s="304">
        <v>32.934776399999691</v>
      </c>
      <c r="D19" s="304">
        <v>32.934776399999691</v>
      </c>
      <c r="E19" s="305">
        <v>1</v>
      </c>
      <c r="H19" s="457" t="s">
        <v>1088</v>
      </c>
      <c r="I19" s="87">
        <v>3747.7407237180005</v>
      </c>
      <c r="J19" s="87">
        <v>3393.1153104928467</v>
      </c>
      <c r="K19" s="87">
        <v>3434.2558337081055</v>
      </c>
      <c r="L19" s="89">
        <v>0.90537621480032837</v>
      </c>
    </row>
    <row r="20" spans="1:12" x14ac:dyDescent="0.25">
      <c r="A20" s="80" t="s">
        <v>294</v>
      </c>
      <c r="B20" s="84">
        <v>0</v>
      </c>
      <c r="C20" s="84">
        <v>0</v>
      </c>
      <c r="D20" s="84">
        <v>0</v>
      </c>
      <c r="E20" s="85">
        <v>0</v>
      </c>
      <c r="H20" s="457"/>
      <c r="I20" s="87"/>
      <c r="J20" s="87"/>
      <c r="K20" s="87"/>
      <c r="L20" s="89"/>
    </row>
    <row r="21" spans="1:12" x14ac:dyDescent="0.25">
      <c r="A21" s="454" t="s">
        <v>117</v>
      </c>
      <c r="B21" s="455">
        <v>1963.0123729999996</v>
      </c>
      <c r="C21" s="455">
        <v>1342.3922682795981</v>
      </c>
      <c r="D21" s="455">
        <v>1572.1506590739457</v>
      </c>
      <c r="E21" s="456">
        <v>1.1711559253010333</v>
      </c>
      <c r="H21" s="97"/>
      <c r="I21" s="98"/>
      <c r="J21" s="98"/>
      <c r="K21" s="98"/>
    </row>
    <row r="23" spans="1:12" x14ac:dyDescent="0.25">
      <c r="A23" s="86" t="s">
        <v>295</v>
      </c>
      <c r="B23" s="88">
        <v>2989.7113790509798</v>
      </c>
      <c r="C23" s="88">
        <v>2504.7646898600551</v>
      </c>
      <c r="D23" s="88">
        <v>2839.9269466741594</v>
      </c>
      <c r="E23" s="89">
        <v>1.1338098776986634</v>
      </c>
    </row>
    <row r="25" spans="1:12" x14ac:dyDescent="0.25">
      <c r="A25" s="90" t="s">
        <v>296</v>
      </c>
      <c r="B25" s="91">
        <v>249.31640892259998</v>
      </c>
      <c r="C25" s="91">
        <v>217.30607321128002</v>
      </c>
      <c r="D25" s="91">
        <v>211.20607321128</v>
      </c>
      <c r="E25" s="92">
        <v>0.97192899439092451</v>
      </c>
    </row>
    <row r="26" spans="1:12" x14ac:dyDescent="0.25">
      <c r="A26" s="74" t="s">
        <v>1081</v>
      </c>
      <c r="B26" s="75">
        <v>249.31640892259998</v>
      </c>
      <c r="C26" s="304">
        <v>217.30607321128002</v>
      </c>
      <c r="D26" s="304">
        <v>211.20607321128</v>
      </c>
      <c r="E26" s="93">
        <v>0.97192899439092451</v>
      </c>
    </row>
    <row r="27" spans="1:12" x14ac:dyDescent="0.25">
      <c r="A27" s="80"/>
      <c r="B27" s="84"/>
      <c r="C27" s="84"/>
      <c r="D27" s="84"/>
      <c r="E27" s="94">
        <v>0</v>
      </c>
    </row>
    <row r="29" spans="1:12" x14ac:dyDescent="0.25">
      <c r="A29" s="71" t="s">
        <v>1082</v>
      </c>
      <c r="B29" s="99">
        <v>158.89663300000001</v>
      </c>
      <c r="C29" s="99">
        <v>160.1</v>
      </c>
      <c r="D29" s="99">
        <v>168.89999999999998</v>
      </c>
      <c r="E29" s="95">
        <v>1.0549656464709556</v>
      </c>
    </row>
    <row r="30" spans="1:12" x14ac:dyDescent="0.25">
      <c r="A30" s="74" t="s">
        <v>1083</v>
      </c>
      <c r="B30" s="304">
        <v>172.92824878479306</v>
      </c>
      <c r="C30" s="304">
        <v>140.79565264773228</v>
      </c>
      <c r="D30" s="304">
        <v>192.03600000000006</v>
      </c>
      <c r="E30" s="93">
        <v>1.2652668853349558</v>
      </c>
      <c r="F30" s="3"/>
      <c r="G30" s="3"/>
      <c r="H30" s="3"/>
    </row>
    <row r="31" spans="1:12" x14ac:dyDescent="0.25">
      <c r="A31" s="74" t="s">
        <v>1084</v>
      </c>
      <c r="B31" s="101">
        <v>752.43561802974591</v>
      </c>
      <c r="C31" s="101">
        <v>695.31815488702364</v>
      </c>
      <c r="D31" s="101">
        <v>726</v>
      </c>
      <c r="E31" s="93">
        <v>1.0441263397156106</v>
      </c>
    </row>
    <row r="32" spans="1:12" x14ac:dyDescent="0.25">
      <c r="A32" s="74" t="s">
        <v>1085</v>
      </c>
      <c r="B32" s="75">
        <v>1267.6903318000002</v>
      </c>
      <c r="C32" s="75">
        <v>882.73592988799999</v>
      </c>
      <c r="D32" s="75">
        <v>1046.5913796201303</v>
      </c>
      <c r="E32" s="93">
        <v>1.1856222729632406</v>
      </c>
    </row>
    <row r="33" spans="1:6" x14ac:dyDescent="0.25">
      <c r="A33" s="74" t="s">
        <v>303</v>
      </c>
      <c r="B33" s="75"/>
      <c r="C33" s="75"/>
      <c r="D33" s="75"/>
      <c r="E33" s="93">
        <v>0</v>
      </c>
    </row>
    <row r="34" spans="1:6" x14ac:dyDescent="0.25">
      <c r="A34" s="80" t="s">
        <v>416</v>
      </c>
      <c r="B34" s="84">
        <v>124.015450302549</v>
      </c>
      <c r="C34" s="84">
        <v>120.31131422555438</v>
      </c>
      <c r="D34" s="84">
        <v>138.27672113370798</v>
      </c>
      <c r="E34" s="94">
        <v>1.1493243343221473</v>
      </c>
    </row>
    <row r="36" spans="1:6" x14ac:dyDescent="0.25">
      <c r="A36" s="86" t="s">
        <v>304</v>
      </c>
      <c r="B36" s="87">
        <v>2725.2826908396883</v>
      </c>
      <c r="C36" s="87">
        <v>2216.56712485959</v>
      </c>
      <c r="D36" s="87">
        <v>2483.0101739651186</v>
      </c>
      <c r="E36" s="89">
        <v>1.1202052697241942</v>
      </c>
    </row>
    <row r="37" spans="1:6" x14ac:dyDescent="0.25">
      <c r="B37" s="3"/>
      <c r="C37" s="3"/>
      <c r="D37" s="3"/>
    </row>
    <row r="38" spans="1:6" x14ac:dyDescent="0.25">
      <c r="A38" s="86" t="s">
        <v>305</v>
      </c>
      <c r="B38" s="87">
        <v>264.4286882112915</v>
      </c>
      <c r="C38" s="87">
        <v>288.19756500046515</v>
      </c>
      <c r="D38" s="87">
        <v>356.91677270904074</v>
      </c>
      <c r="E38" s="89">
        <v>1.238444789457068</v>
      </c>
    </row>
    <row r="39" spans="1:6" x14ac:dyDescent="0.25">
      <c r="A39" s="97" t="s">
        <v>213</v>
      </c>
      <c r="B39" s="98">
        <v>8.8446225968216621E-2</v>
      </c>
      <c r="C39" s="98">
        <v>0.11505973641642447</v>
      </c>
      <c r="D39" s="98">
        <v>0.1256781527873547</v>
      </c>
    </row>
    <row r="47" spans="1:6" x14ac:dyDescent="0.25">
      <c r="C47" s="69" t="s">
        <v>283</v>
      </c>
      <c r="D47" s="69" t="s">
        <v>284</v>
      </c>
      <c r="E47" s="69" t="s">
        <v>283</v>
      </c>
      <c r="F47" s="69" t="s">
        <v>285</v>
      </c>
    </row>
    <row r="48" spans="1:6" x14ac:dyDescent="0.25">
      <c r="C48" s="70">
        <v>2021</v>
      </c>
      <c r="D48" s="70">
        <v>2021</v>
      </c>
      <c r="E48" s="70">
        <v>2022</v>
      </c>
      <c r="F48" s="107" t="s">
        <v>1069</v>
      </c>
    </row>
    <row r="49" spans="2:6" x14ac:dyDescent="0.25">
      <c r="B49" s="457" t="s">
        <v>1088</v>
      </c>
      <c r="C49" s="87">
        <v>3747.7407237180005</v>
      </c>
      <c r="D49" s="87">
        <v>3393.1153104928467</v>
      </c>
      <c r="E49" s="87">
        <v>3434.2558337081055</v>
      </c>
      <c r="F49" s="89">
        <v>0.90537621480032837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776E9-F4D3-4EFD-8D32-E1FE01229DB1}">
  <sheetPr codeName="Hoja4">
    <outlinePr summaryBelow="0"/>
  </sheetPr>
  <dimension ref="A1:DM91"/>
  <sheetViews>
    <sheetView showGridLines="0" zoomScaleNormal="100" workbookViewId="0">
      <pane xSplit="2" ySplit="11" topLeftCell="CZ40" activePane="bottomRight" state="frozen"/>
      <selection pane="topRight"/>
      <selection pane="bottomLeft"/>
      <selection pane="bottomRight" activeCell="A45" sqref="A45:XFD46"/>
    </sheetView>
  </sheetViews>
  <sheetFormatPr baseColWidth="10" defaultRowHeight="15" outlineLevelRow="1" x14ac:dyDescent="0.25"/>
  <cols>
    <col min="2" max="2" width="32.28515625" bestFit="1" customWidth="1"/>
    <col min="7" max="7" width="6.28515625" bestFit="1" customWidth="1"/>
    <col min="9" max="9" width="6.28515625" bestFit="1" customWidth="1"/>
    <col min="11" max="11" width="6.28515625" bestFit="1" customWidth="1"/>
    <col min="13" max="13" width="6.28515625" bestFit="1" customWidth="1"/>
    <col min="14" max="14" width="2.7109375" style="114" customWidth="1"/>
    <col min="19" max="19" width="6.28515625" bestFit="1" customWidth="1"/>
    <col min="21" max="21" width="6.5703125" bestFit="1" customWidth="1"/>
    <col min="23" max="23" width="6.28515625" bestFit="1" customWidth="1"/>
    <col min="25" max="25" width="6.28515625" bestFit="1" customWidth="1"/>
    <col min="26" max="26" width="2.7109375" style="114" customWidth="1"/>
    <col min="31" max="31" width="6.28515625" bestFit="1" customWidth="1"/>
    <col min="33" max="33" width="6.5703125" bestFit="1" customWidth="1"/>
    <col min="35" max="35" width="6.28515625" bestFit="1" customWidth="1"/>
    <col min="37" max="37" width="6.28515625" bestFit="1" customWidth="1"/>
    <col min="38" max="38" width="2.7109375" style="114" customWidth="1"/>
    <col min="43" max="43" width="6.28515625" bestFit="1" customWidth="1"/>
    <col min="45" max="45" width="6.28515625" bestFit="1" customWidth="1"/>
    <col min="47" max="47" width="6.28515625" bestFit="1" customWidth="1"/>
    <col min="49" max="49" width="6.28515625" bestFit="1" customWidth="1"/>
    <col min="50" max="50" width="2.7109375" style="114" customWidth="1"/>
    <col min="55" max="55" width="6.28515625" bestFit="1" customWidth="1"/>
    <col min="57" max="57" width="6.28515625" bestFit="1" customWidth="1"/>
    <col min="59" max="59" width="6.28515625" bestFit="1" customWidth="1"/>
    <col min="61" max="61" width="6.28515625" bestFit="1" customWidth="1"/>
    <col min="62" max="62" width="2.7109375" style="114" customWidth="1"/>
    <col min="67" max="67" width="6.28515625" bestFit="1" customWidth="1"/>
    <col min="69" max="69" width="6.28515625" bestFit="1" customWidth="1"/>
    <col min="71" max="71" width="6.28515625" bestFit="1" customWidth="1"/>
    <col min="73" max="73" width="6.28515625" bestFit="1" customWidth="1"/>
    <col min="74" max="74" width="2.7109375" style="114" customWidth="1"/>
    <col min="79" max="79" width="6.28515625" bestFit="1" customWidth="1"/>
    <col min="81" max="81" width="6.28515625" bestFit="1" customWidth="1"/>
    <col min="83" max="83" width="6.28515625" bestFit="1" customWidth="1"/>
    <col min="85" max="85" width="6.28515625" bestFit="1" customWidth="1"/>
    <col min="86" max="86" width="2.7109375" style="114" customWidth="1"/>
    <col min="91" max="91" width="6.28515625" bestFit="1" customWidth="1"/>
    <col min="93" max="93" width="6.28515625" bestFit="1" customWidth="1"/>
    <col min="95" max="95" width="6.28515625" bestFit="1" customWidth="1"/>
    <col min="97" max="97" width="6.28515625" bestFit="1" customWidth="1"/>
    <col min="98" max="98" width="2.7109375" style="114" customWidth="1"/>
    <col min="103" max="103" width="6.28515625" bestFit="1" customWidth="1"/>
    <col min="105" max="105" width="6.28515625" bestFit="1" customWidth="1"/>
    <col min="107" max="107" width="6.28515625" bestFit="1" customWidth="1"/>
    <col min="109" max="109" width="6.28515625" bestFit="1" customWidth="1"/>
    <col min="110" max="110" width="2.7109375" style="114" customWidth="1"/>
  </cols>
  <sheetData>
    <row r="1" spans="2:117" outlineLevel="1" x14ac:dyDescent="0.25">
      <c r="B1" t="str" vm="6">
        <f>base!B1</f>
        <v>281</v>
      </c>
      <c r="N1"/>
      <c r="Z1"/>
      <c r="AL1"/>
    </row>
    <row r="2" spans="2:117" outlineLevel="1" x14ac:dyDescent="0.25">
      <c r="B2" t="s">
        <v>284</v>
      </c>
      <c r="N2"/>
      <c r="Z2"/>
      <c r="AL2"/>
    </row>
    <row r="3" spans="2:117" outlineLevel="1" x14ac:dyDescent="0.25">
      <c r="N3"/>
      <c r="Z3"/>
      <c r="AL3"/>
    </row>
    <row r="4" spans="2:117" outlineLevel="1" x14ac:dyDescent="0.25">
      <c r="N4"/>
      <c r="Z4"/>
      <c r="AL4"/>
    </row>
    <row r="5" spans="2:117" outlineLevel="1" x14ac:dyDescent="0.25">
      <c r="C5" s="5" t="e">
        <f>VLOOKUP($B$1&amp;"-"&amp;C$11,tipo_departamento[#All],3,0)</f>
        <v>#N/A</v>
      </c>
      <c r="D5" s="5" t="e">
        <f t="shared" ref="D5:E5" si="0">C5</f>
        <v>#N/A</v>
      </c>
      <c r="E5" s="5" t="e">
        <f t="shared" si="0"/>
        <v>#N/A</v>
      </c>
      <c r="F5" s="5" t="e">
        <f>E5</f>
        <v>#N/A</v>
      </c>
      <c r="G5" s="5"/>
      <c r="H5" s="5" t="e">
        <f>F5</f>
        <v>#N/A</v>
      </c>
      <c r="I5" s="5"/>
      <c r="J5" s="5" t="e">
        <f>H5</f>
        <v>#N/A</v>
      </c>
      <c r="K5" s="5"/>
      <c r="L5" s="5" t="e">
        <f>J5</f>
        <v>#N/A</v>
      </c>
      <c r="M5" s="5"/>
      <c r="N5" s="5"/>
      <c r="O5" s="5" t="str">
        <f>VLOOKUP($B$1&amp;"-"&amp;O$11,tipo_departamento[#All],3,0)</f>
        <v>48</v>
      </c>
      <c r="P5" s="5" t="str">
        <f t="shared" ref="P5" si="1">O5</f>
        <v>48</v>
      </c>
      <c r="Q5" s="5" t="str">
        <f t="shared" ref="Q5" si="2">P5</f>
        <v>48</v>
      </c>
      <c r="R5" s="5" t="str">
        <f>Q5</f>
        <v>48</v>
      </c>
      <c r="S5" s="5"/>
      <c r="T5" s="5" t="str">
        <f>R5</f>
        <v>48</v>
      </c>
      <c r="U5" s="5"/>
      <c r="V5" s="5" t="str">
        <f>T5</f>
        <v>48</v>
      </c>
      <c r="W5" s="5"/>
      <c r="X5" s="5" t="str">
        <f>V5</f>
        <v>48</v>
      </c>
      <c r="Y5" s="5"/>
      <c r="Z5" s="5"/>
      <c r="AA5" s="5" t="e">
        <f>VLOOKUP($B$1&amp;"-"&amp;AA$11,tipo_departamento[#All],3,0)</f>
        <v>#N/A</v>
      </c>
      <c r="AB5" s="5" t="e">
        <f t="shared" ref="AB5" si="3">AA5</f>
        <v>#N/A</v>
      </c>
      <c r="AC5" s="5" t="e">
        <f t="shared" ref="AC5" si="4">AB5</f>
        <v>#N/A</v>
      </c>
      <c r="AD5" s="5" t="e">
        <f>AC5</f>
        <v>#N/A</v>
      </c>
      <c r="AE5" s="5"/>
      <c r="AF5" s="5" t="e">
        <f>AD5</f>
        <v>#N/A</v>
      </c>
      <c r="AG5" s="5"/>
      <c r="AH5" s="5" t="e">
        <f>AF5</f>
        <v>#N/A</v>
      </c>
      <c r="AI5" s="5"/>
      <c r="AJ5" s="5" t="e">
        <f>AH5</f>
        <v>#N/A</v>
      </c>
      <c r="AK5" s="5"/>
      <c r="AL5" s="5"/>
      <c r="AM5" s="5" t="str">
        <f>VLOOKUP($B$1&amp;"-"&amp;AM$11,tipo_departamento[#All],3,0)</f>
        <v>922</v>
      </c>
      <c r="AN5" s="5" t="str">
        <f t="shared" ref="AN5" si="5">AM5</f>
        <v>922</v>
      </c>
      <c r="AO5" s="5" t="str">
        <f t="shared" ref="AO5" si="6">AN5</f>
        <v>922</v>
      </c>
      <c r="AP5" s="5" t="str">
        <f>AO5</f>
        <v>922</v>
      </c>
      <c r="AQ5" s="5"/>
      <c r="AR5" s="5" t="str">
        <f>AP5</f>
        <v>922</v>
      </c>
      <c r="AS5" s="5"/>
      <c r="AT5" s="5" t="str">
        <f>AR5</f>
        <v>922</v>
      </c>
      <c r="AU5" s="5"/>
      <c r="AV5" s="5" t="str">
        <f>AT5</f>
        <v>922</v>
      </c>
      <c r="AW5" s="5"/>
      <c r="AX5" s="109"/>
      <c r="AY5" s="5" t="e">
        <f>VLOOKUP($B$1&amp;"-"&amp;AY$11,tipo_departamento[#All],3,0)</f>
        <v>#N/A</v>
      </c>
      <c r="AZ5" s="5" t="e">
        <f t="shared" ref="AZ5" si="7">AY5</f>
        <v>#N/A</v>
      </c>
      <c r="BA5" s="5" t="e">
        <f t="shared" ref="BA5" si="8">AZ5</f>
        <v>#N/A</v>
      </c>
      <c r="BB5" s="5" t="e">
        <f>BA5</f>
        <v>#N/A</v>
      </c>
      <c r="BC5" s="5"/>
      <c r="BD5" s="5" t="e">
        <f>BB5</f>
        <v>#N/A</v>
      </c>
      <c r="BE5" s="5"/>
      <c r="BF5" s="5" t="e">
        <f>BD5</f>
        <v>#N/A</v>
      </c>
      <c r="BG5" s="5"/>
      <c r="BH5" s="5" t="e">
        <f>BF5</f>
        <v>#N/A</v>
      </c>
      <c r="BI5" s="5"/>
      <c r="BJ5" s="109"/>
      <c r="BK5" s="5" t="str">
        <f>VLOOKUP($B$1&amp;"-"&amp;BK$11,tipo_departamento[#All],3,0)</f>
        <v>660</v>
      </c>
      <c r="BL5" s="5" t="str">
        <f t="shared" ref="BL5" si="9">BK5</f>
        <v>660</v>
      </c>
      <c r="BM5" s="5" t="str">
        <f t="shared" ref="BM5" si="10">BL5</f>
        <v>660</v>
      </c>
      <c r="BN5" s="5" t="str">
        <f>BM5</f>
        <v>660</v>
      </c>
      <c r="BO5" s="5"/>
      <c r="BP5" s="5" t="str">
        <f>BN5</f>
        <v>660</v>
      </c>
      <c r="BQ5" s="5"/>
      <c r="BR5" s="5" t="str">
        <f>BP5</f>
        <v>660</v>
      </c>
      <c r="BS5" s="5"/>
      <c r="BT5" s="5" t="str">
        <f>BR5</f>
        <v>660</v>
      </c>
      <c r="BU5" s="5"/>
      <c r="BV5" s="109"/>
      <c r="BW5" s="5" t="str">
        <f>VLOOKUP($B$1&amp;"-"&amp;BW$11,tipo_departamento[#All],3,0)</f>
        <v>534</v>
      </c>
      <c r="BX5" s="5" t="str">
        <f t="shared" ref="BX5" si="11">BW5</f>
        <v>534</v>
      </c>
      <c r="BY5" s="5" t="str">
        <f t="shared" ref="BY5" si="12">BX5</f>
        <v>534</v>
      </c>
      <c r="BZ5" s="5" t="str">
        <f>BY5</f>
        <v>534</v>
      </c>
      <c r="CA5" s="5"/>
      <c r="CB5" s="5" t="str">
        <f>BZ5</f>
        <v>534</v>
      </c>
      <c r="CC5" s="5"/>
      <c r="CD5" s="5" t="str">
        <f>CB5</f>
        <v>534</v>
      </c>
      <c r="CE5" s="5"/>
      <c r="CF5" s="5" t="str">
        <f>CD5</f>
        <v>534</v>
      </c>
      <c r="CG5" s="5"/>
      <c r="CH5" s="109"/>
      <c r="CI5" s="5" t="str">
        <f>VLOOKUP($B$1&amp;"-"&amp;CI$11,tipo_departamento[#All],3,0)</f>
        <v>27</v>
      </c>
      <c r="CJ5" s="5" t="str">
        <f t="shared" ref="CJ5" si="13">CI5</f>
        <v>27</v>
      </c>
      <c r="CK5" s="5" t="str">
        <f t="shared" ref="CK5" si="14">CJ5</f>
        <v>27</v>
      </c>
      <c r="CL5" s="5" t="str">
        <f>CK5</f>
        <v>27</v>
      </c>
      <c r="CM5" s="5"/>
      <c r="CN5" s="5" t="str">
        <f>CL5</f>
        <v>27</v>
      </c>
      <c r="CO5" s="5"/>
      <c r="CP5" s="5" t="str">
        <f>CN5</f>
        <v>27</v>
      </c>
      <c r="CQ5" s="5"/>
      <c r="CR5" s="5" t="str">
        <f>CP5</f>
        <v>27</v>
      </c>
      <c r="CS5" s="5"/>
      <c r="CT5" s="109"/>
      <c r="CU5" s="5" t="str">
        <f>VLOOKUP($B$1&amp;"-"&amp;CU$11,tipo_departamento[#All],3,0)</f>
        <v>582</v>
      </c>
      <c r="CV5" s="5" t="str">
        <f t="shared" ref="CV5" si="15">CU5</f>
        <v>582</v>
      </c>
      <c r="CW5" s="5" t="str">
        <f t="shared" ref="CW5" si="16">CV5</f>
        <v>582</v>
      </c>
      <c r="CX5" s="5" t="str">
        <f>CW5</f>
        <v>582</v>
      </c>
      <c r="CY5" s="5"/>
      <c r="CZ5" s="5" t="str">
        <f>CX5</f>
        <v>582</v>
      </c>
      <c r="DA5" s="5"/>
      <c r="DB5" s="5" t="str">
        <f>CZ5</f>
        <v>582</v>
      </c>
      <c r="DC5" s="5"/>
      <c r="DD5" s="5" t="str">
        <f>DB5</f>
        <v>582</v>
      </c>
      <c r="DE5" s="5"/>
      <c r="DF5" s="109"/>
      <c r="DG5" s="5"/>
      <c r="DH5" s="5"/>
      <c r="DI5" s="5"/>
      <c r="DK5" s="5"/>
      <c r="DL5" s="5"/>
      <c r="DM5" s="5"/>
    </row>
    <row r="6" spans="2:117" outlineLevel="1" x14ac:dyDescent="0.25">
      <c r="N6"/>
      <c r="Z6"/>
      <c r="AL6"/>
    </row>
    <row r="7" spans="2:117" x14ac:dyDescent="0.25">
      <c r="B7" t="s">
        <v>201</v>
      </c>
      <c r="C7" s="17">
        <f>modelo!M4</f>
        <v>2021</v>
      </c>
      <c r="D7" s="17">
        <f t="shared" ref="D7:E7" si="17">C7</f>
        <v>2021</v>
      </c>
      <c r="E7" s="17">
        <f t="shared" si="17"/>
        <v>2021</v>
      </c>
      <c r="F7" s="17">
        <f>E7</f>
        <v>2021</v>
      </c>
      <c r="G7" s="17"/>
      <c r="H7" s="17">
        <f>F7</f>
        <v>2021</v>
      </c>
      <c r="I7" s="17"/>
      <c r="J7" s="17">
        <f>H7</f>
        <v>2021</v>
      </c>
      <c r="K7" s="17"/>
      <c r="L7" s="17">
        <f>C7+1</f>
        <v>2022</v>
      </c>
      <c r="M7" s="17"/>
      <c r="N7" s="108"/>
      <c r="O7" s="17">
        <f>C7</f>
        <v>2021</v>
      </c>
      <c r="P7" s="17">
        <f t="shared" ref="P7" si="18">O7</f>
        <v>2021</v>
      </c>
      <c r="Q7" s="17">
        <f t="shared" ref="Q7" si="19">P7</f>
        <v>2021</v>
      </c>
      <c r="R7" s="17">
        <f>Q7</f>
        <v>2021</v>
      </c>
      <c r="S7" s="17"/>
      <c r="T7" s="17">
        <f>R7</f>
        <v>2021</v>
      </c>
      <c r="U7" s="17"/>
      <c r="V7" s="17">
        <f>T7</f>
        <v>2021</v>
      </c>
      <c r="W7" s="17"/>
      <c r="X7" s="17">
        <f>O7+1</f>
        <v>2022</v>
      </c>
      <c r="Y7" s="17"/>
      <c r="Z7" s="108"/>
      <c r="AA7" s="17">
        <f>O7</f>
        <v>2021</v>
      </c>
      <c r="AB7" s="17">
        <f t="shared" ref="AB7" si="20">AA7</f>
        <v>2021</v>
      </c>
      <c r="AC7" s="17">
        <f t="shared" ref="AC7" si="21">AB7</f>
        <v>2021</v>
      </c>
      <c r="AD7" s="17">
        <f>AC7</f>
        <v>2021</v>
      </c>
      <c r="AE7" s="17"/>
      <c r="AF7" s="17">
        <f>AD7</f>
        <v>2021</v>
      </c>
      <c r="AG7" s="17"/>
      <c r="AH7" s="17">
        <f>AF7</f>
        <v>2021</v>
      </c>
      <c r="AI7" s="17"/>
      <c r="AJ7" s="17">
        <f>AA7+1</f>
        <v>2022</v>
      </c>
      <c r="AK7" s="17"/>
      <c r="AL7" s="108"/>
      <c r="AM7" s="17">
        <f>AA7</f>
        <v>2021</v>
      </c>
      <c r="AN7" s="17">
        <f t="shared" ref="AN7" si="22">AM7</f>
        <v>2021</v>
      </c>
      <c r="AO7" s="17">
        <f t="shared" ref="AO7" si="23">AN7</f>
        <v>2021</v>
      </c>
      <c r="AP7" s="17">
        <f>AO7</f>
        <v>2021</v>
      </c>
      <c r="AQ7" s="17"/>
      <c r="AR7" s="17">
        <f>AP7</f>
        <v>2021</v>
      </c>
      <c r="AS7" s="17"/>
      <c r="AT7" s="17">
        <f>AR7</f>
        <v>2021</v>
      </c>
      <c r="AU7" s="17"/>
      <c r="AV7" s="17">
        <f>AM7+1</f>
        <v>2022</v>
      </c>
      <c r="AW7" s="17"/>
      <c r="AX7" s="108"/>
      <c r="AY7" s="17">
        <f>AM7</f>
        <v>2021</v>
      </c>
      <c r="AZ7" s="17">
        <f t="shared" ref="AZ7" si="24">AY7</f>
        <v>2021</v>
      </c>
      <c r="BA7" s="17">
        <f t="shared" ref="BA7" si="25">AZ7</f>
        <v>2021</v>
      </c>
      <c r="BB7" s="17">
        <f>BA7</f>
        <v>2021</v>
      </c>
      <c r="BC7" s="17"/>
      <c r="BD7" s="17">
        <f>BB7</f>
        <v>2021</v>
      </c>
      <c r="BE7" s="17"/>
      <c r="BF7" s="17">
        <f>BD7</f>
        <v>2021</v>
      </c>
      <c r="BG7" s="17"/>
      <c r="BH7" s="17">
        <f>AY7+1</f>
        <v>2022</v>
      </c>
      <c r="BI7" s="17"/>
      <c r="BJ7" s="108"/>
      <c r="BK7" s="17">
        <f>AY7</f>
        <v>2021</v>
      </c>
      <c r="BL7" s="17">
        <f t="shared" ref="BL7" si="26">BK7</f>
        <v>2021</v>
      </c>
      <c r="BM7" s="17">
        <f t="shared" ref="BM7" si="27">BL7</f>
        <v>2021</v>
      </c>
      <c r="BN7" s="17">
        <f>BM7</f>
        <v>2021</v>
      </c>
      <c r="BO7" s="17"/>
      <c r="BP7" s="17">
        <f>BN7</f>
        <v>2021</v>
      </c>
      <c r="BQ7" s="17"/>
      <c r="BR7" s="17">
        <f>BP7</f>
        <v>2021</v>
      </c>
      <c r="BS7" s="17"/>
      <c r="BT7" s="17">
        <f>BK7+1</f>
        <v>2022</v>
      </c>
      <c r="BU7" s="17"/>
      <c r="BV7" s="108"/>
      <c r="BW7" s="17">
        <f>BK7</f>
        <v>2021</v>
      </c>
      <c r="BX7" s="17">
        <f t="shared" ref="BX7" si="28">BW7</f>
        <v>2021</v>
      </c>
      <c r="BY7" s="17">
        <f t="shared" ref="BY7" si="29">BX7</f>
        <v>2021</v>
      </c>
      <c r="BZ7" s="17">
        <f>BY7</f>
        <v>2021</v>
      </c>
      <c r="CA7" s="17"/>
      <c r="CB7" s="17">
        <f>BZ7</f>
        <v>2021</v>
      </c>
      <c r="CC7" s="17"/>
      <c r="CD7" s="17">
        <f>CB7</f>
        <v>2021</v>
      </c>
      <c r="CE7" s="17"/>
      <c r="CF7" s="17">
        <f>BW7+1</f>
        <v>2022</v>
      </c>
      <c r="CG7" s="17"/>
      <c r="CH7" s="108"/>
      <c r="CI7" s="17">
        <f>BW7</f>
        <v>2021</v>
      </c>
      <c r="CJ7" s="17">
        <f t="shared" ref="CJ7" si="30">CI7</f>
        <v>2021</v>
      </c>
      <c r="CK7" s="17">
        <f t="shared" ref="CK7" si="31">CJ7</f>
        <v>2021</v>
      </c>
      <c r="CL7" s="17">
        <f>CK7</f>
        <v>2021</v>
      </c>
      <c r="CM7" s="17"/>
      <c r="CN7" s="17">
        <f>CL7</f>
        <v>2021</v>
      </c>
      <c r="CO7" s="17"/>
      <c r="CP7" s="17">
        <f>CN7</f>
        <v>2021</v>
      </c>
      <c r="CQ7" s="17"/>
      <c r="CR7" s="17">
        <f>CI7+1</f>
        <v>2022</v>
      </c>
      <c r="CS7" s="17"/>
      <c r="CT7" s="108"/>
      <c r="CU7" s="17">
        <f>CI7</f>
        <v>2021</v>
      </c>
      <c r="CV7" s="17">
        <f t="shared" ref="CV7" si="32">CU7</f>
        <v>2021</v>
      </c>
      <c r="CW7" s="17">
        <f t="shared" ref="CW7" si="33">CV7</f>
        <v>2021</v>
      </c>
      <c r="CX7" s="17">
        <f>CW7</f>
        <v>2021</v>
      </c>
      <c r="CY7" s="17"/>
      <c r="CZ7" s="17">
        <f>CX7</f>
        <v>2021</v>
      </c>
      <c r="DA7" s="17"/>
      <c r="DB7" s="17">
        <f>CZ7</f>
        <v>2021</v>
      </c>
      <c r="DC7" s="17"/>
      <c r="DD7" s="17">
        <f>CU7+1</f>
        <v>2022</v>
      </c>
      <c r="DE7" s="17"/>
      <c r="DF7" s="108"/>
      <c r="DG7" s="17">
        <f>CU7</f>
        <v>2021</v>
      </c>
      <c r="DH7" s="17">
        <f>CZ7</f>
        <v>2021</v>
      </c>
      <c r="DI7" s="17">
        <f>DB7</f>
        <v>2021</v>
      </c>
      <c r="DJ7" s="5"/>
      <c r="DK7" s="17">
        <f t="shared" ref="DK7:DM7" si="34">DG7</f>
        <v>2021</v>
      </c>
      <c r="DL7" s="17">
        <f t="shared" si="34"/>
        <v>2021</v>
      </c>
      <c r="DM7" s="17">
        <f t="shared" si="34"/>
        <v>2021</v>
      </c>
    </row>
    <row r="8" spans="2:117" x14ac:dyDescent="0.25">
      <c r="B8" t="s">
        <v>202</v>
      </c>
      <c r="C8" s="5">
        <v>12</v>
      </c>
      <c r="D8" s="5">
        <v>6</v>
      </c>
      <c r="E8" s="5" t="str">
        <f>D8+1&amp;"-"&amp;12</f>
        <v>7-12</v>
      </c>
      <c r="F8" s="5">
        <v>5</v>
      </c>
      <c r="G8" s="5"/>
      <c r="H8" s="5" t="str">
        <f>E8</f>
        <v>7-12</v>
      </c>
      <c r="I8" s="5"/>
      <c r="J8" s="5">
        <f>C8</f>
        <v>12</v>
      </c>
      <c r="K8" s="5"/>
      <c r="L8" s="5">
        <f>C8</f>
        <v>12</v>
      </c>
      <c r="M8" s="5"/>
      <c r="N8" s="109"/>
      <c r="O8" s="5">
        <f>C8</f>
        <v>12</v>
      </c>
      <c r="P8" s="5">
        <v>6</v>
      </c>
      <c r="Q8" s="5" t="str">
        <f>P8+1&amp;"-"&amp;12</f>
        <v>7-12</v>
      </c>
      <c r="R8" s="5">
        <f>F8</f>
        <v>5</v>
      </c>
      <c r="S8" s="5"/>
      <c r="T8" s="5" t="str">
        <f>Q8</f>
        <v>7-12</v>
      </c>
      <c r="U8" s="5"/>
      <c r="V8" s="5">
        <f>O8</f>
        <v>12</v>
      </c>
      <c r="W8" s="5"/>
      <c r="X8" s="5">
        <f>O8</f>
        <v>12</v>
      </c>
      <c r="Y8" s="5"/>
      <c r="Z8" s="109"/>
      <c r="AA8" s="5">
        <f>O8</f>
        <v>12</v>
      </c>
      <c r="AB8" s="5">
        <v>6</v>
      </c>
      <c r="AC8" s="5" t="str">
        <f>AB8+1&amp;"-"&amp;12</f>
        <v>7-12</v>
      </c>
      <c r="AD8" s="5">
        <f>R8</f>
        <v>5</v>
      </c>
      <c r="AE8" s="5"/>
      <c r="AF8" s="5" t="str">
        <f>AC8</f>
        <v>7-12</v>
      </c>
      <c r="AG8" s="5"/>
      <c r="AH8" s="5">
        <f>AA8</f>
        <v>12</v>
      </c>
      <c r="AI8" s="5"/>
      <c r="AJ8" s="5">
        <f>AA8</f>
        <v>12</v>
      </c>
      <c r="AK8" s="5"/>
      <c r="AL8" s="109"/>
      <c r="AM8" s="5">
        <f>AA8</f>
        <v>12</v>
      </c>
      <c r="AN8" s="5">
        <v>6</v>
      </c>
      <c r="AO8" s="5" t="str">
        <f>AN8+1&amp;"-"&amp;12</f>
        <v>7-12</v>
      </c>
      <c r="AP8" s="5">
        <f>AD8</f>
        <v>5</v>
      </c>
      <c r="AQ8" s="5"/>
      <c r="AR8" s="5" t="str">
        <f>AO8</f>
        <v>7-12</v>
      </c>
      <c r="AS8" s="5"/>
      <c r="AT8" s="5">
        <f>AM8</f>
        <v>12</v>
      </c>
      <c r="AU8" s="5"/>
      <c r="AV8" s="5">
        <f>AM8</f>
        <v>12</v>
      </c>
      <c r="AW8" s="5"/>
      <c r="AX8" s="109"/>
      <c r="AY8" s="5">
        <f>AM8</f>
        <v>12</v>
      </c>
      <c r="AZ8" s="5">
        <v>6</v>
      </c>
      <c r="BA8" s="5" t="str">
        <f>AZ8+1&amp;"-"&amp;12</f>
        <v>7-12</v>
      </c>
      <c r="BB8" s="5">
        <f>AP8</f>
        <v>5</v>
      </c>
      <c r="BC8" s="5"/>
      <c r="BD8" s="5" t="str">
        <f>BA8</f>
        <v>7-12</v>
      </c>
      <c r="BE8" s="5"/>
      <c r="BF8" s="5">
        <f>AY8</f>
        <v>12</v>
      </c>
      <c r="BG8" s="5"/>
      <c r="BH8" s="5">
        <f>AY8</f>
        <v>12</v>
      </c>
      <c r="BI8" s="5"/>
      <c r="BJ8" s="109"/>
      <c r="BK8" s="5">
        <f>AY8</f>
        <v>12</v>
      </c>
      <c r="BL8" s="5">
        <v>6</v>
      </c>
      <c r="BM8" s="5" t="str">
        <f>BL8+1&amp;"-"&amp;12</f>
        <v>7-12</v>
      </c>
      <c r="BN8" s="5">
        <f>BB8</f>
        <v>5</v>
      </c>
      <c r="BO8" s="5"/>
      <c r="BP8" s="5" t="str">
        <f>BM8</f>
        <v>7-12</v>
      </c>
      <c r="BQ8" s="5"/>
      <c r="BR8" s="5">
        <f>BK8</f>
        <v>12</v>
      </c>
      <c r="BS8" s="5"/>
      <c r="BT8" s="5">
        <f>BK8</f>
        <v>12</v>
      </c>
      <c r="BU8" s="5"/>
      <c r="BV8" s="109"/>
      <c r="BW8" s="5">
        <f>BK8</f>
        <v>12</v>
      </c>
      <c r="BX8" s="5">
        <v>6</v>
      </c>
      <c r="BY8" s="5" t="str">
        <f>BX8+1&amp;"-"&amp;12</f>
        <v>7-12</v>
      </c>
      <c r="BZ8" s="5">
        <f>BN8</f>
        <v>5</v>
      </c>
      <c r="CA8" s="5"/>
      <c r="CB8" s="5" t="str">
        <f>BY8</f>
        <v>7-12</v>
      </c>
      <c r="CC8" s="5"/>
      <c r="CD8" s="5">
        <f>BW8</f>
        <v>12</v>
      </c>
      <c r="CE8" s="5"/>
      <c r="CF8" s="5">
        <f>BW8</f>
        <v>12</v>
      </c>
      <c r="CG8" s="5"/>
      <c r="CH8" s="109"/>
      <c r="CI8" s="5">
        <f>BW8</f>
        <v>12</v>
      </c>
      <c r="CJ8" s="5">
        <v>6</v>
      </c>
      <c r="CK8" s="5" t="str">
        <f>CJ8+1&amp;"-"&amp;12</f>
        <v>7-12</v>
      </c>
      <c r="CL8" s="5">
        <f>BZ8</f>
        <v>5</v>
      </c>
      <c r="CM8" s="5"/>
      <c r="CN8" s="5" t="str">
        <f>CK8</f>
        <v>7-12</v>
      </c>
      <c r="CO8" s="5"/>
      <c r="CP8" s="5">
        <f>CI8</f>
        <v>12</v>
      </c>
      <c r="CQ8" s="5"/>
      <c r="CR8" s="5">
        <f>CI8</f>
        <v>12</v>
      </c>
      <c r="CS8" s="5"/>
      <c r="CT8" s="109"/>
      <c r="CU8" s="5">
        <f>CI8</f>
        <v>12</v>
      </c>
      <c r="CV8" s="5">
        <v>6</v>
      </c>
      <c r="CW8" s="5" t="str">
        <f>CV8+1&amp;"-"&amp;12</f>
        <v>7-12</v>
      </c>
      <c r="CX8" s="5">
        <f>CL8</f>
        <v>5</v>
      </c>
      <c r="CY8" s="5"/>
      <c r="CZ8" s="5" t="str">
        <f>CW8</f>
        <v>7-12</v>
      </c>
      <c r="DA8" s="5"/>
      <c r="DB8" s="5">
        <f>CU8</f>
        <v>12</v>
      </c>
      <c r="DC8" s="5"/>
      <c r="DD8" s="5">
        <f>CU8</f>
        <v>12</v>
      </c>
      <c r="DE8" s="5"/>
      <c r="DF8" s="109"/>
      <c r="DG8" s="5">
        <f>CU8</f>
        <v>12</v>
      </c>
      <c r="DH8" s="5" t="str">
        <f>CZ8</f>
        <v>7-12</v>
      </c>
      <c r="DI8" s="5">
        <f>DB8</f>
        <v>12</v>
      </c>
      <c r="DK8" s="5"/>
      <c r="DL8" s="5"/>
      <c r="DM8" s="5"/>
    </row>
    <row r="9" spans="2:117" x14ac:dyDescent="0.25">
      <c r="C9" s="115" t="s">
        <v>128</v>
      </c>
      <c r="D9" s="115" t="str">
        <f>C9</f>
        <v>PRESUPUESTO</v>
      </c>
      <c r="E9" s="115" t="str">
        <f>D9</f>
        <v>PRESUPUESTO</v>
      </c>
      <c r="F9" s="115" t="s">
        <v>127</v>
      </c>
      <c r="G9" s="115" t="s">
        <v>310</v>
      </c>
      <c r="H9" s="115" t="s">
        <v>309</v>
      </c>
      <c r="I9" s="115" t="s">
        <v>310</v>
      </c>
      <c r="J9" s="115" t="s">
        <v>309</v>
      </c>
      <c r="K9" s="115" t="s">
        <v>310</v>
      </c>
      <c r="L9" s="115" t="str">
        <f>C9</f>
        <v>PRESUPUESTO</v>
      </c>
      <c r="M9" s="115" t="s">
        <v>213</v>
      </c>
      <c r="N9" s="108"/>
      <c r="O9" s="115" t="str">
        <f>C9</f>
        <v>PRESUPUESTO</v>
      </c>
      <c r="P9" s="115" t="str">
        <f>O9</f>
        <v>PRESUPUESTO</v>
      </c>
      <c r="Q9" s="115" t="str">
        <f>P9</f>
        <v>PRESUPUESTO</v>
      </c>
      <c r="R9" s="115" t="s">
        <v>127</v>
      </c>
      <c r="S9" s="115" t="s">
        <v>310</v>
      </c>
      <c r="T9" s="115" t="s">
        <v>309</v>
      </c>
      <c r="U9" s="115" t="s">
        <v>310</v>
      </c>
      <c r="V9" s="115" t="s">
        <v>309</v>
      </c>
      <c r="W9" s="115" t="s">
        <v>310</v>
      </c>
      <c r="X9" s="115" t="str">
        <f>O9</f>
        <v>PRESUPUESTO</v>
      </c>
      <c r="Y9" s="115" t="s">
        <v>213</v>
      </c>
      <c r="Z9" s="108"/>
      <c r="AA9" s="115" t="str">
        <f>O9</f>
        <v>PRESUPUESTO</v>
      </c>
      <c r="AB9" s="115" t="str">
        <f>AA9</f>
        <v>PRESUPUESTO</v>
      </c>
      <c r="AC9" s="115" t="str">
        <f>AB9</f>
        <v>PRESUPUESTO</v>
      </c>
      <c r="AD9" s="115" t="s">
        <v>127</v>
      </c>
      <c r="AE9" s="115" t="s">
        <v>310</v>
      </c>
      <c r="AF9" s="115" t="s">
        <v>309</v>
      </c>
      <c r="AG9" s="115" t="s">
        <v>310</v>
      </c>
      <c r="AH9" s="115" t="s">
        <v>309</v>
      </c>
      <c r="AI9" s="115" t="s">
        <v>310</v>
      </c>
      <c r="AJ9" s="115" t="str">
        <f>AA9</f>
        <v>PRESUPUESTO</v>
      </c>
      <c r="AK9" s="115" t="s">
        <v>213</v>
      </c>
      <c r="AL9" s="108"/>
      <c r="AM9" s="115" t="str">
        <f>AA9</f>
        <v>PRESUPUESTO</v>
      </c>
      <c r="AN9" s="115" t="str">
        <f>AM9</f>
        <v>PRESUPUESTO</v>
      </c>
      <c r="AO9" s="115" t="str">
        <f>AN9</f>
        <v>PRESUPUESTO</v>
      </c>
      <c r="AP9" s="115" t="s">
        <v>127</v>
      </c>
      <c r="AQ9" s="115" t="s">
        <v>310</v>
      </c>
      <c r="AR9" s="115" t="s">
        <v>309</v>
      </c>
      <c r="AS9" s="115" t="s">
        <v>310</v>
      </c>
      <c r="AT9" s="115" t="s">
        <v>309</v>
      </c>
      <c r="AU9" s="115" t="s">
        <v>310</v>
      </c>
      <c r="AV9" s="115" t="str">
        <f>AM9</f>
        <v>PRESUPUESTO</v>
      </c>
      <c r="AW9" s="115" t="s">
        <v>213</v>
      </c>
      <c r="AX9" s="108"/>
      <c r="AY9" s="115" t="str">
        <f>AM9</f>
        <v>PRESUPUESTO</v>
      </c>
      <c r="AZ9" s="115" t="str">
        <f>AY9</f>
        <v>PRESUPUESTO</v>
      </c>
      <c r="BA9" s="115" t="str">
        <f>AZ9</f>
        <v>PRESUPUESTO</v>
      </c>
      <c r="BB9" s="115" t="s">
        <v>127</v>
      </c>
      <c r="BC9" s="115" t="s">
        <v>310</v>
      </c>
      <c r="BD9" s="115" t="s">
        <v>309</v>
      </c>
      <c r="BE9" s="115" t="s">
        <v>310</v>
      </c>
      <c r="BF9" s="115" t="s">
        <v>309</v>
      </c>
      <c r="BG9" s="115" t="s">
        <v>310</v>
      </c>
      <c r="BH9" s="115" t="str">
        <f>AY9</f>
        <v>PRESUPUESTO</v>
      </c>
      <c r="BI9" s="115" t="s">
        <v>213</v>
      </c>
      <c r="BJ9" s="108"/>
      <c r="BK9" s="115" t="str">
        <f>AY9</f>
        <v>PRESUPUESTO</v>
      </c>
      <c r="BL9" s="115" t="str">
        <f>BK9</f>
        <v>PRESUPUESTO</v>
      </c>
      <c r="BM9" s="115" t="str">
        <f>BL9</f>
        <v>PRESUPUESTO</v>
      </c>
      <c r="BN9" s="115" t="s">
        <v>127</v>
      </c>
      <c r="BO9" s="115" t="s">
        <v>310</v>
      </c>
      <c r="BP9" s="115" t="s">
        <v>309</v>
      </c>
      <c r="BQ9" s="115" t="s">
        <v>310</v>
      </c>
      <c r="BR9" s="115" t="s">
        <v>309</v>
      </c>
      <c r="BS9" s="115" t="s">
        <v>310</v>
      </c>
      <c r="BT9" s="115" t="str">
        <f>BK9</f>
        <v>PRESUPUESTO</v>
      </c>
      <c r="BU9" s="115" t="s">
        <v>213</v>
      </c>
      <c r="BV9" s="108"/>
      <c r="BW9" s="115" t="str">
        <f>BK9</f>
        <v>PRESUPUESTO</v>
      </c>
      <c r="BX9" s="115" t="str">
        <f>BW9</f>
        <v>PRESUPUESTO</v>
      </c>
      <c r="BY9" s="115" t="str">
        <f>BX9</f>
        <v>PRESUPUESTO</v>
      </c>
      <c r="BZ9" s="115" t="s">
        <v>127</v>
      </c>
      <c r="CA9" s="115" t="s">
        <v>310</v>
      </c>
      <c r="CB9" s="115" t="s">
        <v>309</v>
      </c>
      <c r="CC9" s="115" t="s">
        <v>310</v>
      </c>
      <c r="CD9" s="115" t="s">
        <v>309</v>
      </c>
      <c r="CE9" s="115" t="s">
        <v>310</v>
      </c>
      <c r="CF9" s="115" t="str">
        <f>BW9</f>
        <v>PRESUPUESTO</v>
      </c>
      <c r="CG9" s="115" t="s">
        <v>213</v>
      </c>
      <c r="CH9" s="108"/>
      <c r="CI9" s="115" t="str">
        <f>BW9</f>
        <v>PRESUPUESTO</v>
      </c>
      <c r="CJ9" s="115" t="str">
        <f>CI9</f>
        <v>PRESUPUESTO</v>
      </c>
      <c r="CK9" s="115" t="str">
        <f>CJ9</f>
        <v>PRESUPUESTO</v>
      </c>
      <c r="CL9" s="115" t="s">
        <v>127</v>
      </c>
      <c r="CM9" s="115" t="s">
        <v>310</v>
      </c>
      <c r="CN9" s="115" t="s">
        <v>309</v>
      </c>
      <c r="CO9" s="115" t="s">
        <v>310</v>
      </c>
      <c r="CP9" s="115" t="s">
        <v>309</v>
      </c>
      <c r="CQ9" s="115" t="s">
        <v>310</v>
      </c>
      <c r="CR9" s="115" t="str">
        <f>CI9</f>
        <v>PRESUPUESTO</v>
      </c>
      <c r="CS9" s="115" t="s">
        <v>213</v>
      </c>
      <c r="CT9" s="108"/>
      <c r="CU9" s="115" t="str">
        <f>CI9</f>
        <v>PRESUPUESTO</v>
      </c>
      <c r="CV9" s="115" t="str">
        <f>CU9</f>
        <v>PRESUPUESTO</v>
      </c>
      <c r="CW9" s="115" t="str">
        <f>CV9</f>
        <v>PRESUPUESTO</v>
      </c>
      <c r="CX9" s="115" t="s">
        <v>127</v>
      </c>
      <c r="CY9" s="115" t="s">
        <v>310</v>
      </c>
      <c r="CZ9" s="115" t="s">
        <v>309</v>
      </c>
      <c r="DA9" s="115" t="s">
        <v>310</v>
      </c>
      <c r="DB9" s="115" t="s">
        <v>309</v>
      </c>
      <c r="DC9" s="115" t="s">
        <v>310</v>
      </c>
      <c r="DD9" s="115" t="str">
        <f>CU9</f>
        <v>PRESUPUESTO</v>
      </c>
      <c r="DE9" s="115" t="s">
        <v>213</v>
      </c>
      <c r="DF9" s="108"/>
      <c r="DG9" s="115" t="str">
        <f>CU9</f>
        <v>PRESUPUESTO</v>
      </c>
      <c r="DH9" s="115" t="str">
        <f>CZ9</f>
        <v>PROYECCION</v>
      </c>
      <c r="DI9" s="115" t="str">
        <f>DB9</f>
        <v>PROYECCION</v>
      </c>
      <c r="DK9" s="115" t="s">
        <v>311</v>
      </c>
      <c r="DL9" s="115" t="s">
        <v>312</v>
      </c>
      <c r="DM9" s="115" t="s">
        <v>311</v>
      </c>
    </row>
    <row r="10" spans="2:117" x14ac:dyDescent="0.25">
      <c r="G10" s="5"/>
      <c r="H10" s="97">
        <v>7</v>
      </c>
      <c r="I10" s="5"/>
      <c r="K10" s="5"/>
      <c r="M10" s="5"/>
      <c r="S10" s="5"/>
      <c r="T10" s="97">
        <f>H10</f>
        <v>7</v>
      </c>
      <c r="U10" s="5"/>
      <c r="W10" s="5"/>
      <c r="Y10" s="5"/>
      <c r="AE10" s="5"/>
      <c r="AF10" s="97">
        <f>T10</f>
        <v>7</v>
      </c>
      <c r="AG10" s="5"/>
      <c r="AI10" s="5"/>
      <c r="AK10" s="5"/>
      <c r="AQ10" s="5"/>
      <c r="AR10" s="97">
        <f>AF10</f>
        <v>7</v>
      </c>
      <c r="AS10" s="5"/>
      <c r="AU10" s="5"/>
      <c r="AW10" s="5"/>
      <c r="BC10" s="5"/>
      <c r="BD10" s="97">
        <f>AR10</f>
        <v>7</v>
      </c>
      <c r="BE10" s="5"/>
      <c r="BG10" s="5"/>
      <c r="BI10" s="5"/>
      <c r="BO10" s="5"/>
      <c r="BP10" s="97">
        <f>BD10</f>
        <v>7</v>
      </c>
      <c r="BQ10" s="5"/>
      <c r="BS10" s="5"/>
      <c r="BU10" s="5"/>
      <c r="CA10" s="5"/>
      <c r="CB10" s="97">
        <f>BP10</f>
        <v>7</v>
      </c>
      <c r="CC10" s="5"/>
      <c r="CE10" s="5"/>
      <c r="CG10" s="5"/>
      <c r="CM10" s="5"/>
      <c r="CN10" s="97">
        <f>CB10</f>
        <v>7</v>
      </c>
      <c r="CO10" s="5"/>
      <c r="CQ10" s="5"/>
      <c r="CS10" s="5"/>
      <c r="CY10" s="5"/>
      <c r="CZ10" s="97">
        <f>CN10</f>
        <v>7</v>
      </c>
      <c r="DA10" s="5"/>
      <c r="DC10" s="5"/>
      <c r="DE10" s="5"/>
    </row>
    <row r="11" spans="2:117" ht="25.5" x14ac:dyDescent="0.25">
      <c r="C11" s="118" t="s">
        <v>119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110"/>
      <c r="O11" s="118" t="s">
        <v>118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110"/>
      <c r="AA11" s="118" t="s">
        <v>308</v>
      </c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110"/>
      <c r="AM11" s="118" t="s">
        <v>105</v>
      </c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110"/>
      <c r="AY11" s="118" t="s">
        <v>214</v>
      </c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110"/>
      <c r="BK11" s="118" t="s">
        <v>165</v>
      </c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110"/>
      <c r="BW11" s="118" t="s">
        <v>215</v>
      </c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110"/>
      <c r="CI11" s="118" t="s">
        <v>216</v>
      </c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110"/>
      <c r="CU11" s="118" t="s">
        <v>217</v>
      </c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110"/>
      <c r="DG11" s="4" t="s">
        <v>218</v>
      </c>
      <c r="DH11" s="4" t="s">
        <v>218</v>
      </c>
      <c r="DI11" s="4" t="s">
        <v>218</v>
      </c>
      <c r="DK11" s="4" t="s">
        <v>218</v>
      </c>
      <c r="DL11" s="4" t="s">
        <v>218</v>
      </c>
      <c r="DM11" s="4" t="s">
        <v>218</v>
      </c>
    </row>
    <row r="13" spans="2:117" x14ac:dyDescent="0.25">
      <c r="B13" t="s">
        <v>119</v>
      </c>
      <c r="C13" s="9">
        <f>IFERROR(GETPIVOTDATA("[Measures].[Suma de valor]",base!$A$3,"[IF].[departamento_jerarquia2]","[IF].[departamento_jerarquia2].&amp;["&amp;C$5&amp;"]","[IF].[grupo_analisis]","[IF].[grupo_analisis].&amp;["&amp;$B13&amp;"]","[IF].[mes]","[IF].[mes].&amp;["&amp;C$8&amp;"]","[IF].[ano]","[IF].[ano].&amp;["&amp;C$7&amp;"]","[IF].[informacion]","[IF].[informacion].&amp;["&amp;C$9&amp;"]"),0)</f>
        <v>0</v>
      </c>
      <c r="D13" s="9">
        <f>IFERROR(GETPIVOTDATA("[Measures].[Suma de valor]",base!$A$3,"[IF].[departamento_jerarquia2]","[IF].[departamento_jerarquia2].&amp;["&amp;D$5&amp;"]","[IF].[grupo_analisis]","[IF].[grupo_analisis].&amp;["&amp;$B13&amp;"]","[IF].[mes]","[IF].[mes].&amp;["&amp;D$8&amp;"]","[IF].[ano]","[IF].[ano].&amp;["&amp;D$7&amp;"]","[IF].[informacion]","[IF].[informacion].&amp;["&amp;D$9&amp;"]"),0)</f>
        <v>0</v>
      </c>
      <c r="E13" s="9">
        <f t="shared" ref="E13:E38" si="35">C13-D13</f>
        <v>0</v>
      </c>
      <c r="F13" s="9">
        <f>(IFERROR(GETPIVOTDATA("[Measures].[Suma de valor]",base!$A$3,"[IF].[departamento_jerarquia2]","[IF].[departamento_jerarquia2].&amp;["&amp;F$5&amp;"]","[IF].[grupo_analisis]","[IF].[grupo_analisis].&amp;["&amp;$B13&amp;"]","[IF].[mes]","[IF].[mes].&amp;["&amp;F$8&amp;"]","[IF].[ano]","[IF].[ano].&amp;["&amp;F$7&amp;"]","[IF].[informacion]","[IF].[informacion].&amp;["&amp;F$9&amp;"]"),0)*IF($B$2="Real",1,IF(F$8&lt;6,6/F$8,1)))*(1+G13)</f>
        <v>0</v>
      </c>
      <c r="G13" s="116">
        <v>0</v>
      </c>
      <c r="H13" s="12">
        <f>IF(F8&lt;=6,E13*(1+I13),(IFERROR(GETPIVOTDATA("[Measures].[Suma de valor]",base!$A$3,"[IF].[departamento_jerarquia2]","[IF].[departamento_jerarquia2].&amp;["&amp;H$5&amp;"]","[IF].[grupo_analisis]","[IF].[grupo_analisis].&amp;["&amp;$B13&amp;"]","[IF].[mes]","[IF].[mes].&amp;["&amp;$H$10&amp;"]","[IF].[ano]","[IF].[ano].&amp;["&amp;H$7&amp;"]","[IF].[informacion]","[IF].[informacion].&amp;["&amp;H$9&amp;"]"),0))-F13*(6/(H10-F8)))</f>
        <v>0</v>
      </c>
      <c r="I13" s="116">
        <v>0</v>
      </c>
      <c r="J13" s="12">
        <f t="shared" ref="J13:J38" si="36">F13+H13</f>
        <v>0</v>
      </c>
      <c r="K13" s="116">
        <v>0</v>
      </c>
      <c r="L13" s="119">
        <f>IFERROR((J13/poblacion!D11*poblacion!H11),0)*(1+modelo!T6)</f>
        <v>0</v>
      </c>
      <c r="M13" s="116">
        <v>0</v>
      </c>
      <c r="N13" s="11"/>
      <c r="O13" s="9">
        <f>IFERROR(GETPIVOTDATA("[Measures].[Suma de valor]",base!$A$3,"[IF].[departamento_jerarquia2]","[IF].[departamento_jerarquia2].&amp;["&amp;O$5&amp;"]","[IF].[grupo_analisis]","[IF].[grupo_analisis].&amp;["&amp;$B13&amp;"]","[IF].[mes]","[IF].[mes].&amp;["&amp;O$8&amp;"]","[IF].[ano]","[IF].[ano].&amp;["&amp;O$7&amp;"]","[IF].[informacion]","[IF].[informacion].&amp;["&amp;O$9&amp;"]"),0)-AA13</f>
        <v>0</v>
      </c>
      <c r="P13" s="9">
        <f>IFERROR(GETPIVOTDATA("[Measures].[Suma de valor]",base!$A$3,"[IF].[departamento_jerarquia2]","[IF].[departamento_jerarquia2].&amp;["&amp;P$5&amp;"]","[IF].[grupo_analisis]","[IF].[grupo_analisis].&amp;["&amp;$B13&amp;"]","[IF].[mes]","[IF].[mes].&amp;["&amp;P$8&amp;"]","[IF].[ano]","[IF].[ano].&amp;["&amp;P$7&amp;"]","[IF].[informacion]","[IF].[informacion].&amp;["&amp;P$9&amp;"]"),0)-AB13</f>
        <v>0</v>
      </c>
      <c r="Q13" s="9">
        <f t="shared" ref="Q13:Q20" si="37">O13-P13</f>
        <v>0</v>
      </c>
      <c r="R13" s="9">
        <f>(IFERROR(GETPIVOTDATA("[Measures].[Suma de valor]",base!$A$3,"[IF].[departamento_jerarquia2]","[IF].[departamento_jerarquia2].&amp;["&amp;R$5&amp;"]","[IF].[grupo_analisis]","[IF].[grupo_analisis].&amp;["&amp;$B13&amp;"]","[IF].[mes]","[IF].[mes].&amp;["&amp;R$8&amp;"]","[IF].[ano]","[IF].[ano].&amp;["&amp;R$7&amp;"]","[IF].[informacion]","[IF].[informacion].&amp;["&amp;R$9&amp;"]"),0)*IF($B$2="Real",1,IF(R$8&lt;6,6/R$8,1))-AD13)*(1+S13)</f>
        <v>0</v>
      </c>
      <c r="S13" s="116">
        <v>0</v>
      </c>
      <c r="T13" s="12">
        <f>IF(R8&lt;=6,Q13*(1+U13),(IFERROR(GETPIVOTDATA("[Measures].[Suma de valor]",base!$A$3,"[IF].[departamento_jerarquia2]","[IF].[departamento_jerarquia2].&amp;["&amp;T$5&amp;"]","[IF].[grupo_analisis]","[IF].[grupo_analisis].&amp;["&amp;$B13&amp;"]","[IF].[mes]","[IF].[mes].&amp;["&amp;$H$10&amp;"]","[IF].[ano]","[IF].[ano].&amp;["&amp;T$7&amp;"]","[IF].[informacion]","[IF].[informacion].&amp;["&amp;T$9&amp;"]"),0))-R13*(6/(T10-R8)))</f>
        <v>0</v>
      </c>
      <c r="U13" s="116">
        <v>0</v>
      </c>
      <c r="V13" s="12">
        <f t="shared" ref="V13:V37" si="38">R13+T13</f>
        <v>0</v>
      </c>
      <c r="W13" s="116">
        <v>0</v>
      </c>
      <c r="X13" s="119">
        <f t="shared" ref="X13" si="39">V13*(1+Y13)</f>
        <v>0</v>
      </c>
      <c r="Y13" s="116">
        <v>0</v>
      </c>
      <c r="Z13" s="11"/>
      <c r="AA13" s="9">
        <f>IFERROR(GETPIVOTDATA("[Measures].[Suma de valor]",base!$AN$5,"[IF].[grupo_analisis]","[IF].[grupo_analisis].&amp;["&amp;$B13&amp;"]","[IF].[mes]","[IF].[mes].&amp;["&amp;AA$8&amp;"]","[IF].[ano]","[IF].[ano].&amp;["&amp;AA$7&amp;"]","[IF].[informacion]","[IF].[informacion].&amp;["&amp;AA$9&amp;"]"),0)</f>
        <v>0</v>
      </c>
      <c r="AB13" s="9">
        <f>IFERROR(GETPIVOTDATA("[Measures].[Suma de valor]",base!$AN$5,"[IF].[grupo_analisis]","[IF].[grupo_analisis].&amp;["&amp;$B13&amp;"]","[IF].[mes]","[IF].[mes].&amp;["&amp;AB$8&amp;"]","[IF].[ano]","[IF].[ano].&amp;["&amp;AB$7&amp;"]","[IF].[informacion]","[IF].[informacion].&amp;["&amp;AB$9&amp;"]"),0)</f>
        <v>0</v>
      </c>
      <c r="AC13" s="9">
        <f t="shared" ref="AC13:AC20" si="40">AA13-AB13</f>
        <v>0</v>
      </c>
      <c r="AD13" s="9">
        <f>(IFERROR(GETPIVOTDATA("[Measures].[Suma de valor]",base!$AN$5,"[IF].[grupo_analisis]","[IF].[grupo_analisis].&amp;["&amp;$B13&amp;"]","[IF].[mes]","[IF].[mes].&amp;["&amp;AD$8&amp;"]","[IF].[ano]","[IF].[ano].&amp;["&amp;AD$7&amp;"]","[IF].[informacion]","[IF].[informacion].&amp;["&amp;AD$9&amp;"]"),0)*IF($B$2="Real",1,IF(AD$8&lt;6,6/AD$8,1)))*(1+S13)</f>
        <v>0</v>
      </c>
      <c r="AE13" s="116">
        <v>0</v>
      </c>
      <c r="AF13" s="12">
        <f>IF(AD8&lt;=6,AC13*(1+AG13),(IFERROR(GETPIVOTDATA("[Measures].[Suma de valor]",base!$A$3,"[IF].[departamento_jerarquia2]","[IF].[departamento_jerarquia2].&amp;["&amp;AF$5&amp;"]","[IF].[grupo_analisis]","[IF].[grupo_analisis].&amp;["&amp;$B13&amp;"]","[IF].[mes]","[IF].[mes].&amp;["&amp;$H$10&amp;"]","[IF].[ano]","[IF].[ano].&amp;["&amp;AF$7&amp;"]","[IF].[informacion]","[IF].[informacion].&amp;["&amp;AF$9&amp;"]"),0))-AD13*(6/(AF10-AD8)))</f>
        <v>0</v>
      </c>
      <c r="AG13" s="116">
        <v>0</v>
      </c>
      <c r="AH13" s="12">
        <f t="shared" ref="AH13:AH38" si="41">AD13+AF13</f>
        <v>0</v>
      </c>
      <c r="AI13" s="116">
        <v>0</v>
      </c>
      <c r="AJ13" s="119">
        <f>AH13*(1+AK13)</f>
        <v>0</v>
      </c>
      <c r="AK13" s="116">
        <v>0</v>
      </c>
      <c r="AL13" s="11"/>
      <c r="AM13" s="9">
        <v>0</v>
      </c>
      <c r="AN13" s="9">
        <v>0</v>
      </c>
      <c r="AO13" s="9">
        <v>0</v>
      </c>
      <c r="AP13" s="9">
        <v>0</v>
      </c>
      <c r="AQ13" s="116">
        <v>0</v>
      </c>
      <c r="AR13" s="12">
        <v>0</v>
      </c>
      <c r="AS13" s="116">
        <v>0</v>
      </c>
      <c r="AT13" s="12">
        <v>0</v>
      </c>
      <c r="AU13" s="116">
        <v>0</v>
      </c>
      <c r="AV13" s="119">
        <v>0</v>
      </c>
      <c r="AW13" s="116">
        <v>0</v>
      </c>
      <c r="AX13" s="11"/>
      <c r="AY13" s="9">
        <f>IFERROR(GETPIVOTDATA("[Measures].[Suma de valor]",base!$A$3,"[IF].[departamento_jerarquia2]","[IF].[departamento_jerarquia2].&amp;["&amp;AY$5&amp;"]","[IF].[grupo_analisis]","[IF].[grupo_analisis].&amp;["&amp;$B13&amp;"]","[IF].[mes]","[IF].[mes].&amp;["&amp;AY$8&amp;"]","[IF].[ano]","[IF].[ano].&amp;["&amp;AY$7&amp;"]","[IF].[informacion]","[IF].[informacion].&amp;["&amp;AY$9&amp;"]"),0)</f>
        <v>0</v>
      </c>
      <c r="AZ13" s="9">
        <f>IFERROR(GETPIVOTDATA("[Measures].[Suma de valor]",base!$A$3,"[IF].[departamento_jerarquia2]","[IF].[departamento_jerarquia2].&amp;["&amp;AZ$5&amp;"]","[IF].[grupo_analisis]","[IF].[grupo_analisis].&amp;["&amp;$B13&amp;"]","[IF].[mes]","[IF].[mes].&amp;["&amp;AZ$8&amp;"]","[IF].[ano]","[IF].[ano].&amp;["&amp;AZ$7&amp;"]","[IF].[informacion]","[IF].[informacion].&amp;["&amp;AZ$9&amp;"]"),0)</f>
        <v>0</v>
      </c>
      <c r="BA13" s="9">
        <f t="shared" ref="BA13:BA20" si="42">AY13-AZ13</f>
        <v>0</v>
      </c>
      <c r="BB13" s="9">
        <f>(IFERROR(GETPIVOTDATA("[Measures].[Suma de valor]",base!$A$3,"[IF].[departamento_jerarquia2]","[IF].[departamento_jerarquia2].&amp;["&amp;BB$5&amp;"]","[IF].[grupo_analisis]","[IF].[grupo_analisis].&amp;["&amp;$B13&amp;"]","[IF].[mes]","[IF].[mes].&amp;["&amp;BB$8&amp;"]","[IF].[ano]","[IF].[ano].&amp;["&amp;BB$7&amp;"]","[IF].[informacion]","[IF].[informacion].&amp;["&amp;BB$9&amp;"]"),0)*IF($B$2="Real",1,IF(BB$8&lt;6,6/BB$8,1)))*(1+BC13)</f>
        <v>0</v>
      </c>
      <c r="BC13" s="116">
        <v>0</v>
      </c>
      <c r="BD13" s="12">
        <f>IF(BB8&lt;=6,BA13*(1+BE13),(IFERROR(GETPIVOTDATA("[Measures].[Suma de valor]",base!$A$3,"[IF].[departamento_jerarquia2]","[IF].[departamento_jerarquia2].&amp;["&amp;BD$5&amp;"]","[IF].[grupo_analisis]","[IF].[grupo_analisis].&amp;["&amp;$B13&amp;"]","[IF].[mes]","[IF].[mes].&amp;["&amp;$H$10&amp;"]","[IF].[ano]","[IF].[ano].&amp;["&amp;BD$7&amp;"]","[IF].[informacion]","[IF].[informacion].&amp;["&amp;BD$9&amp;"]"),0))-BB13*(6/(BD10-BB8)))</f>
        <v>0</v>
      </c>
      <c r="BE13" s="116">
        <v>0</v>
      </c>
      <c r="BF13" s="12">
        <f t="shared" ref="BF13:BF38" si="43">BB13+BD13</f>
        <v>0</v>
      </c>
      <c r="BG13" s="116">
        <v>0</v>
      </c>
      <c r="BH13" s="119">
        <f>BF13*(1+BI13)</f>
        <v>0</v>
      </c>
      <c r="BI13" s="116">
        <v>0</v>
      </c>
      <c r="BJ13" s="11"/>
      <c r="BK13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13&amp;"]"),0)</f>
        <v>0</v>
      </c>
      <c r="BL13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13&amp;"]"),0)</f>
        <v>0</v>
      </c>
      <c r="BM13" s="9">
        <f t="shared" ref="BM13:BM20" si="44">BK13-BL13</f>
        <v>0</v>
      </c>
      <c r="BN13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13&amp;"]"),0)*IF($B$2="Real",1,IF(BN$8&lt;6,6/BN$8,1)))*(1+BO13)</f>
        <v>0</v>
      </c>
      <c r="BO13" s="116">
        <v>0</v>
      </c>
      <c r="BP13" s="12">
        <f>IF(BN8&lt;=6,BM13*(1+BQ13),(IFERROR(GETPIVOTDATA("[Measures].[Suma de valor]",base!$A$3,"[IF].[departamento_hijo]","[IF].[departamento_hijo].&amp;["&amp;BP$5&amp;"]","[IF].[grupo_analisis]","[IF].[grupo_analisis].&amp;["&amp;$B13&amp;"]","[IF].[mes]","[IF].[mes].&amp;["&amp;$H$10&amp;"]","[IF].[ano]","[IF].[ano].&amp;["&amp;BP$7&amp;"]","[IF].[informacion]","[IF].[informacion].&amp;["&amp;BP$9&amp;"]"),0))-BN13*(6/(BP10-BN8)))</f>
        <v>0</v>
      </c>
      <c r="BQ13" s="116">
        <v>0</v>
      </c>
      <c r="BR13" s="12">
        <f t="shared" ref="BR13:BR38" si="45">BN13+BP13</f>
        <v>0</v>
      </c>
      <c r="BS13" s="116">
        <v>0</v>
      </c>
      <c r="BT13" s="119">
        <f>BR13*(1+BU13)</f>
        <v>0</v>
      </c>
      <c r="BU13" s="116">
        <v>0</v>
      </c>
      <c r="BV13" s="11"/>
      <c r="BW13" s="9">
        <f>IFERROR(GETPIVOTDATA("[Measures].[Suma de valor]",base!$A$3,"[IF].[departamento_jerarquia2]","[IF].[departamento_jerarquia2].&amp;["&amp;BW$5&amp;"]","[IF].[grupo_analisis]","[IF].[grupo_analisis].&amp;["&amp;$B13&amp;"]","[IF].[mes]","[IF].[mes].&amp;["&amp;BW$8&amp;"]","[IF].[ano]","[IF].[ano].&amp;["&amp;BW$7&amp;"]","[IF].[informacion]","[IF].[informacion].&amp;["&amp;BW$9&amp;"]"),0)</f>
        <v>0</v>
      </c>
      <c r="BX13" s="9">
        <f>IFERROR(GETPIVOTDATA("[Measures].[Suma de valor]",base!$A$3,"[IF].[departamento_jerarquia2]","[IF].[departamento_jerarquia2].&amp;["&amp;BX$5&amp;"]","[IF].[grupo_analisis]","[IF].[grupo_analisis].&amp;["&amp;$B13&amp;"]","[IF].[mes]","[IF].[mes].&amp;["&amp;BX$8&amp;"]","[IF].[ano]","[IF].[ano].&amp;["&amp;BX$7&amp;"]","[IF].[informacion]","[IF].[informacion].&amp;["&amp;BX$9&amp;"]"),0)</f>
        <v>0</v>
      </c>
      <c r="BY13" s="9">
        <f t="shared" ref="BY13:BY20" si="46">BW13-BX13</f>
        <v>0</v>
      </c>
      <c r="BZ13" s="9">
        <f>(IFERROR(GETPIVOTDATA("[Measures].[Suma de valor]",base!$A$3,"[IF].[departamento_jerarquia2]","[IF].[departamento_jerarquia2].&amp;["&amp;BZ$5&amp;"]","[IF].[grupo_analisis]","[IF].[grupo_analisis].&amp;["&amp;$B13&amp;"]","[IF].[mes]","[IF].[mes].&amp;["&amp;BZ$8&amp;"]","[IF].[ano]","[IF].[ano].&amp;["&amp;BZ$7&amp;"]","[IF].[informacion]","[IF].[informacion].&amp;["&amp;BZ$9&amp;"]"),0)*IF($B$2="Real",1,IF(BZ$8&lt;6,6/BZ$8,1)))*(1+CA13)</f>
        <v>0</v>
      </c>
      <c r="CA13" s="116">
        <v>0</v>
      </c>
      <c r="CB13" s="12">
        <f>IF(BZ8&lt;=6,BY13*(1+CC13),(IFERROR(GETPIVOTDATA("[Measures].[Suma de valor]",base!$A$3,"[IF].[departamento_jerarquia2]","[IF].[departamento_jerarquia2].&amp;["&amp;CB$5&amp;"]","[IF].[grupo_analisis]","[IF].[grupo_analisis].&amp;["&amp;$B13&amp;"]","[IF].[mes]","[IF].[mes].&amp;["&amp;$H$10&amp;"]","[IF].[ano]","[IF].[ano].&amp;["&amp;CB$7&amp;"]","[IF].[informacion]","[IF].[informacion].&amp;["&amp;CB$9&amp;"]"),0))-BZ13*(6/(CB10-BZ8)))</f>
        <v>0</v>
      </c>
      <c r="CC13" s="116">
        <v>0</v>
      </c>
      <c r="CD13" s="12">
        <f t="shared" ref="CD13:CD38" si="47">BZ13+CB13</f>
        <v>0</v>
      </c>
      <c r="CE13" s="116">
        <v>0</v>
      </c>
      <c r="CF13" s="119">
        <f>CD13*(1+CG13)</f>
        <v>0</v>
      </c>
      <c r="CG13" s="116">
        <v>0</v>
      </c>
      <c r="CH13" s="11"/>
      <c r="CI13" s="9"/>
      <c r="CJ13" s="9"/>
      <c r="CK13" s="9"/>
      <c r="CL13" s="9"/>
      <c r="CM13" s="116"/>
      <c r="CN13" s="12"/>
      <c r="CO13" s="116"/>
      <c r="CP13" s="12"/>
      <c r="CQ13" s="116"/>
      <c r="CR13" s="119"/>
      <c r="CS13" s="116"/>
      <c r="CT13" s="11"/>
      <c r="CU13" s="9"/>
      <c r="CV13" s="9"/>
      <c r="CW13" s="9"/>
      <c r="CX13" s="9"/>
      <c r="CY13" s="116"/>
      <c r="CZ13" s="12"/>
      <c r="DA13" s="116"/>
      <c r="DB13" s="12"/>
      <c r="DC13" s="116"/>
      <c r="DD13" s="119"/>
      <c r="DE13" s="116"/>
      <c r="DF13" s="11"/>
      <c r="DG13" s="9">
        <f>C13+O13+AA13+AM13+AY13+BK13+BW13+CI13+CU13</f>
        <v>0</v>
      </c>
      <c r="DH13" s="12">
        <f t="shared" ref="DH13:DH38" si="48">J13+V13+AH13+AT13+BF13+BR13+CD13+CP13+DB13</f>
        <v>0</v>
      </c>
      <c r="DI13" s="119">
        <f>L13+X13+AJ13+AV13+BH13+BT13+CF13+CR13+DD13</f>
        <v>0</v>
      </c>
      <c r="DK13" s="9">
        <f t="shared" ref="DK13:DM20" si="49">DG13</f>
        <v>0</v>
      </c>
      <c r="DL13" s="12">
        <f t="shared" si="49"/>
        <v>0</v>
      </c>
      <c r="DM13" s="119">
        <f t="shared" si="49"/>
        <v>0</v>
      </c>
    </row>
    <row r="14" spans="2:117" x14ac:dyDescent="0.25">
      <c r="B14" t="s">
        <v>118</v>
      </c>
      <c r="C14" s="9">
        <f>IFERROR(GETPIVOTDATA("[Measures].[Suma de valor]",base!$A$3,"[IF].[departamento_jerarquia2]","[IF].[departamento_jerarquia2].&amp;["&amp;C$5&amp;"]","[IF].[grupo_analisis]","[IF].[grupo_analisis].&amp;["&amp;$B14&amp;"]","[IF].[mes]","[IF].[mes].&amp;["&amp;C$8&amp;"]","[IF].[ano]","[IF].[ano].&amp;["&amp;C$7&amp;"]","[IF].[informacion]","[IF].[informacion].&amp;["&amp;C$9&amp;"]"),0)</f>
        <v>0</v>
      </c>
      <c r="D14" s="9">
        <f>IFERROR(GETPIVOTDATA("[Measures].[Suma de valor]",base!$A$3,"[IF].[departamento_jerarquia2]","[IF].[departamento_jerarquia2].&amp;["&amp;D$5&amp;"]","[IF].[grupo_analisis]","[IF].[grupo_analisis].&amp;["&amp;$B14&amp;"]","[IF].[mes]","[IF].[mes].&amp;["&amp;D$8&amp;"]","[IF].[ano]","[IF].[ano].&amp;["&amp;D$7&amp;"]","[IF].[informacion]","[IF].[informacion].&amp;["&amp;D$9&amp;"]"),0)</f>
        <v>0</v>
      </c>
      <c r="E14" s="9">
        <f t="shared" si="35"/>
        <v>0</v>
      </c>
      <c r="F14" s="9">
        <f>(IFERROR(GETPIVOTDATA("[Measures].[Suma de valor]",base!$A$3,"[IF].[departamento_jerarquia2]","[IF].[departamento_jerarquia2].&amp;["&amp;F$5&amp;"]","[IF].[grupo_analisis]","[IF].[grupo_analisis].&amp;["&amp;$B14&amp;"]","[IF].[mes]","[IF].[mes].&amp;["&amp;F$8&amp;"]","[IF].[ano]","[IF].[ano].&amp;["&amp;F$7&amp;"]","[IF].[informacion]","[IF].[informacion].&amp;["&amp;F$9&amp;"]"),0)*IF($B$2="Real",1,IF(F$8&lt;6,6/F$8,1)))*(1+G14)</f>
        <v>0</v>
      </c>
      <c r="G14" s="116">
        <v>0</v>
      </c>
      <c r="H14" s="12">
        <f t="shared" ref="H14:H38" si="50">E14*(1+I14)</f>
        <v>0</v>
      </c>
      <c r="I14" s="116">
        <v>0</v>
      </c>
      <c r="J14" s="12">
        <f t="shared" si="36"/>
        <v>0</v>
      </c>
      <c r="K14" s="116">
        <v>0</v>
      </c>
      <c r="L14" s="119">
        <f t="shared" ref="L14:L37" si="51">J14*(1+M14)</f>
        <v>0</v>
      </c>
      <c r="M14" s="116">
        <v>0</v>
      </c>
      <c r="N14" s="11"/>
      <c r="O14" s="9">
        <f>IFERROR(GETPIVOTDATA("[Measures].[Suma de valor]",base!$A$3,"[IF].[departamento_jerarquia2]","[IF].[departamento_jerarquia2].&amp;["&amp;O$5&amp;"]","[IF].[grupo_analisis]","[IF].[grupo_analisis].&amp;["&amp;$B14&amp;"]","[IF].[mes]","[IF].[mes].&amp;["&amp;O$8&amp;"]","[IF].[ano]","[IF].[ano].&amp;["&amp;O$7&amp;"]","[IF].[informacion]","[IF].[informacion].&amp;["&amp;O$9&amp;"]"),0)-AA14</f>
        <v>115.79718150000008</v>
      </c>
      <c r="P14" s="9">
        <f>IFERROR(GETPIVOTDATA("[Measures].[Suma de valor]",base!$A$3,"[IF].[departamento_jerarquia2]","[IF].[departamento_jerarquia2].&amp;["&amp;P$5&amp;"]","[IF].[grupo_analisis]","[IF].[grupo_analisis].&amp;["&amp;$B14&amp;"]","[IF].[mes]","[IF].[mes].&amp;["&amp;P$8&amp;"]","[IF].[ano]","[IF].[ano].&amp;["&amp;P$7&amp;"]","[IF].[informacion]","[IF].[informacion].&amp;["&amp;P$9&amp;"]"),0)-AB14</f>
        <v>16.547417236350043</v>
      </c>
      <c r="Q14" s="9">
        <f t="shared" si="37"/>
        <v>99.249764263650036</v>
      </c>
      <c r="R14" s="9">
        <f>(IFERROR(GETPIVOTDATA("[Measures].[Suma de valor]",base!$A$3,"[IF].[departamento_jerarquia2]","[IF].[departamento_jerarquia2].&amp;["&amp;R$5&amp;"]","[IF].[grupo_analisis]","[IF].[grupo_analisis].&amp;["&amp;$B14&amp;"]","[IF].[mes]","[IF].[mes].&amp;["&amp;R$8&amp;"]","[IF].[ano]","[IF].[ano].&amp;["&amp;R$7&amp;"]","[IF].[informacion]","[IF].[informacion].&amp;["&amp;R$9&amp;"]"),0)*IF($B$2="Real",1,IF(R$8&lt;6,6/R$8,1))-AD14)*(1+S14)</f>
        <v>45.1385808</v>
      </c>
      <c r="S14" s="116">
        <v>0</v>
      </c>
      <c r="T14" s="12">
        <f>Q14*(1+U14)</f>
        <v>38.707408062823518</v>
      </c>
      <c r="U14" s="116">
        <v>-0.61</v>
      </c>
      <c r="V14" s="12">
        <f>R14+T14</f>
        <v>83.845988862823518</v>
      </c>
      <c r="W14" s="116">
        <v>0.17</v>
      </c>
      <c r="X14" s="119">
        <f>V14*(1+Y14)*(1+modelo!T11)</f>
        <v>147.33114663527329</v>
      </c>
      <c r="Y14" s="116">
        <v>0.6814965760891778</v>
      </c>
      <c r="Z14" s="11"/>
      <c r="AA14" s="9">
        <f>IFERROR(GETPIVOTDATA("[Measures].[Suma de valor]",base!$AN$5,"[IF].[grupo_analisis]","[IF].[grupo_analisis].&amp;["&amp;$B14&amp;"]","[IF].[mes]","[IF].[mes].&amp;["&amp;AA$8&amp;"]","[IF].[ano]","[IF].[ano].&amp;["&amp;AA$7&amp;"]","[IF].[informacion]","[IF].[informacion].&amp;["&amp;AA$9&amp;"]"),0)</f>
        <v>1029.26762168504</v>
      </c>
      <c r="AB14" s="9">
        <f>IFERROR(GETPIVOTDATA("[Measures].[Suma de valor]",base!$AN$5,"[IF].[grupo_analisis]","[IF].[grupo_analisis].&amp;["&amp;$B14&amp;"]","[IF].[mes]","[IF].[mes].&amp;["&amp;AB$8&amp;"]","[IF].[ano]","[IF].[ano].&amp;["&amp;AB$7&amp;"]","[IF].[informacion]","[IF].[informacion].&amp;["&amp;AB$9&amp;"]"),0)</f>
        <v>518.75088132926021</v>
      </c>
      <c r="AC14" s="9">
        <f t="shared" si="40"/>
        <v>510.5167403557798</v>
      </c>
      <c r="AD14" s="9">
        <f>(IFERROR(GETPIVOTDATA("[Measures].[Suma de valor]",base!$AN$5,"[IF].[grupo_analisis]","[IF].[grupo_analisis].&amp;["&amp;$B14&amp;"]","[IF].[mes]","[IF].[mes].&amp;["&amp;AD$8&amp;"]","[IF].[ano]","[IF].[ano].&amp;["&amp;AD$7&amp;"]","[IF].[informacion]","[IF].[informacion].&amp;["&amp;AD$9&amp;"]"),0)*IF($B$2="Real",1,IF(AD$8&lt;6,6/AD$8,1)))*(1+S14)</f>
        <v>635.26379159999999</v>
      </c>
      <c r="AE14" s="116">
        <v>0</v>
      </c>
      <c r="AF14" s="12">
        <f>AC14*(1+AG14)</f>
        <v>570.75771571776181</v>
      </c>
      <c r="AG14" s="116">
        <v>0.11799999999999999</v>
      </c>
      <c r="AH14" s="12">
        <f>AD14+AF14</f>
        <v>1206.0215073177619</v>
      </c>
      <c r="AI14" s="116">
        <v>0</v>
      </c>
      <c r="AJ14" s="119">
        <f>AH14*(1+AK14)*(1+modelo!T16)</f>
        <v>1265.9637912852227</v>
      </c>
      <c r="AK14" s="116">
        <v>4.4999999999999997E-3</v>
      </c>
      <c r="AL14" s="11"/>
      <c r="AM14" s="9">
        <v>0</v>
      </c>
      <c r="AN14" s="9">
        <v>0</v>
      </c>
      <c r="AO14" s="9">
        <v>0</v>
      </c>
      <c r="AP14" s="9">
        <v>0</v>
      </c>
      <c r="AQ14" s="116">
        <v>0</v>
      </c>
      <c r="AR14" s="12">
        <v>0</v>
      </c>
      <c r="AS14" s="116">
        <v>0</v>
      </c>
      <c r="AT14" s="12">
        <v>0</v>
      </c>
      <c r="AU14" s="116">
        <v>0</v>
      </c>
      <c r="AV14" s="119">
        <v>0</v>
      </c>
      <c r="AW14" s="116">
        <v>0</v>
      </c>
      <c r="AX14" s="11"/>
      <c r="AY14" s="9">
        <f>IFERROR(GETPIVOTDATA("[Measures].[Suma de valor]",base!$A$3,"[IF].[departamento_jerarquia2]","[IF].[departamento_jerarquia2].&amp;["&amp;AY$5&amp;"]","[IF].[grupo_analisis]","[IF].[grupo_analisis].&amp;["&amp;$B14&amp;"]","[IF].[mes]","[IF].[mes].&amp;["&amp;AY$8&amp;"]","[IF].[ano]","[IF].[ano].&amp;["&amp;AY$7&amp;"]","[IF].[informacion]","[IF].[informacion].&amp;["&amp;AY$9&amp;"]"),0)</f>
        <v>0</v>
      </c>
      <c r="AZ14" s="9">
        <f>IFERROR(GETPIVOTDATA("[Measures].[Suma de valor]",base!$A$3,"[IF].[departamento_jerarquia2]","[IF].[departamento_jerarquia2].&amp;["&amp;AZ$5&amp;"]","[IF].[grupo_analisis]","[IF].[grupo_analisis].&amp;["&amp;$B14&amp;"]","[IF].[mes]","[IF].[mes].&amp;["&amp;AZ$8&amp;"]","[IF].[ano]","[IF].[ano].&amp;["&amp;AZ$7&amp;"]","[IF].[informacion]","[IF].[informacion].&amp;["&amp;AZ$9&amp;"]"),0)</f>
        <v>0</v>
      </c>
      <c r="BA14" s="9">
        <f t="shared" si="42"/>
        <v>0</v>
      </c>
      <c r="BB14" s="9">
        <f>(IFERROR(GETPIVOTDATA("[Measures].[Suma de valor]",base!$A$3,"[IF].[departamento_jerarquia2]","[IF].[departamento_jerarquia2].&amp;["&amp;BB$5&amp;"]","[IF].[grupo_analisis]","[IF].[grupo_analisis].&amp;["&amp;$B14&amp;"]","[IF].[mes]","[IF].[mes].&amp;["&amp;BB$8&amp;"]","[IF].[ano]","[IF].[ano].&amp;["&amp;BB$7&amp;"]","[IF].[informacion]","[IF].[informacion].&amp;["&amp;BB$9&amp;"]"),0)*IF($B$2="Real",1,IF(BB$8&lt;6,6/BB$8,1)))*(1+BC14)</f>
        <v>0</v>
      </c>
      <c r="BC14" s="116">
        <v>0</v>
      </c>
      <c r="BD14" s="12">
        <f t="shared" ref="BD14:BD38" si="52">BA14*(1+BE14)</f>
        <v>0</v>
      </c>
      <c r="BE14" s="116">
        <v>0</v>
      </c>
      <c r="BF14" s="12">
        <f t="shared" si="43"/>
        <v>0</v>
      </c>
      <c r="BG14" s="116">
        <v>0</v>
      </c>
      <c r="BH14" s="119">
        <f t="shared" ref="BH14:BH20" si="53">BF14*(1+BI14)</f>
        <v>0</v>
      </c>
      <c r="BI14" s="116">
        <v>0</v>
      </c>
      <c r="BJ14" s="11"/>
      <c r="BK14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14&amp;"]"),0)</f>
        <v>0</v>
      </c>
      <c r="BL14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14&amp;"]"),0)</f>
        <v>0</v>
      </c>
      <c r="BM14" s="9">
        <f t="shared" si="44"/>
        <v>0</v>
      </c>
      <c r="BN14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14&amp;"]"),0)*IF($B$2="Real",1,IF(BN$8&lt;6,6/BN$8,1)))*(1+BO14)</f>
        <v>0</v>
      </c>
      <c r="BO14" s="116">
        <v>0</v>
      </c>
      <c r="BP14" s="12">
        <f t="shared" ref="BP14:BP38" si="54">BM14*(1+BQ14)</f>
        <v>0</v>
      </c>
      <c r="BQ14" s="116">
        <v>0</v>
      </c>
      <c r="BR14" s="12">
        <f t="shared" si="45"/>
        <v>0</v>
      </c>
      <c r="BS14" s="116">
        <v>0</v>
      </c>
      <c r="BT14" s="119">
        <f t="shared" ref="BT14:BT20" si="55">BR14*(1+BU14)</f>
        <v>0</v>
      </c>
      <c r="BU14" s="116">
        <v>0</v>
      </c>
      <c r="BV14" s="11"/>
      <c r="BW14" s="9">
        <f>IFERROR(GETPIVOTDATA("[Measures].[Suma de valor]",base!$A$3,"[IF].[departamento_jerarquia2]","[IF].[departamento_jerarquia2].&amp;["&amp;BW$5&amp;"]","[IF].[grupo_analisis]","[IF].[grupo_analisis].&amp;["&amp;$B14&amp;"]","[IF].[mes]","[IF].[mes].&amp;["&amp;BW$8&amp;"]","[IF].[ano]","[IF].[ano].&amp;["&amp;BW$7&amp;"]","[IF].[informacion]","[IF].[informacion].&amp;["&amp;BW$9&amp;"]"),0)</f>
        <v>0</v>
      </c>
      <c r="BX14" s="9">
        <f>IFERROR(GETPIVOTDATA("[Measures].[Suma de valor]",base!$A$3,"[IF].[departamento_jerarquia2]","[IF].[departamento_jerarquia2].&amp;["&amp;BX$5&amp;"]","[IF].[grupo_analisis]","[IF].[grupo_analisis].&amp;["&amp;$B14&amp;"]","[IF].[mes]","[IF].[mes].&amp;["&amp;BX$8&amp;"]","[IF].[ano]","[IF].[ano].&amp;["&amp;BX$7&amp;"]","[IF].[informacion]","[IF].[informacion].&amp;["&amp;BX$9&amp;"]"),0)</f>
        <v>0</v>
      </c>
      <c r="BY14" s="9">
        <f t="shared" si="46"/>
        <v>0</v>
      </c>
      <c r="BZ14" s="9">
        <f>(IFERROR(GETPIVOTDATA("[Measures].[Suma de valor]",base!$A$3,"[IF].[departamento_jerarquia2]","[IF].[departamento_jerarquia2].&amp;["&amp;BZ$5&amp;"]","[IF].[grupo_analisis]","[IF].[grupo_analisis].&amp;["&amp;$B14&amp;"]","[IF].[mes]","[IF].[mes].&amp;["&amp;BZ$8&amp;"]","[IF].[ano]","[IF].[ano].&amp;["&amp;BZ$7&amp;"]","[IF].[informacion]","[IF].[informacion].&amp;["&amp;BZ$9&amp;"]"),0)*IF($B$2="Real",1,IF(BZ$8&lt;6,6/BZ$8,1)))*(1+CA14)</f>
        <v>0</v>
      </c>
      <c r="CA14" s="116">
        <v>0</v>
      </c>
      <c r="CB14" s="12">
        <f t="shared" ref="CB14:CB38" si="56">BY14*(1+CC14)</f>
        <v>0</v>
      </c>
      <c r="CC14" s="116">
        <v>0</v>
      </c>
      <c r="CD14" s="12">
        <f t="shared" si="47"/>
        <v>0</v>
      </c>
      <c r="CE14" s="116">
        <v>0</v>
      </c>
      <c r="CF14" s="119">
        <f t="shared" ref="CF14:CF20" si="57">CD14*(1+CG14)</f>
        <v>0</v>
      </c>
      <c r="CG14" s="116">
        <v>0</v>
      </c>
      <c r="CH14" s="11"/>
      <c r="CI14" s="9"/>
      <c r="CJ14" s="9"/>
      <c r="CK14" s="9"/>
      <c r="CL14" s="9"/>
      <c r="CM14" s="116"/>
      <c r="CN14" s="12"/>
      <c r="CO14" s="116"/>
      <c r="CP14" s="12"/>
      <c r="CQ14" s="116"/>
      <c r="CR14" s="119"/>
      <c r="CS14" s="116"/>
      <c r="CT14" s="11"/>
      <c r="CU14" s="9"/>
      <c r="CV14" s="9"/>
      <c r="CW14" s="9"/>
      <c r="CX14" s="9"/>
      <c r="CY14" s="116"/>
      <c r="CZ14" s="12"/>
      <c r="DA14" s="116"/>
      <c r="DB14" s="12"/>
      <c r="DC14" s="116"/>
      <c r="DD14" s="119"/>
      <c r="DE14" s="116"/>
      <c r="DF14" s="11"/>
      <c r="DG14" s="9">
        <f t="shared" ref="DG14:DG20" si="58">C14+O14+AA14+AM14+AY14+BK14+BW14+CI14+CU14</f>
        <v>1145.0648031850401</v>
      </c>
      <c r="DH14" s="12">
        <f t="shared" si="48"/>
        <v>1289.8674961805855</v>
      </c>
      <c r="DI14" s="119">
        <f t="shared" ref="DI14:DI20" si="59">L14+X14+AJ14+AV14+BH14+BT14+CF14+CR14+DD14</f>
        <v>1413.2949379204961</v>
      </c>
      <c r="DK14" s="9">
        <f t="shared" si="49"/>
        <v>1145.0648031850401</v>
      </c>
      <c r="DL14" s="12">
        <f t="shared" si="49"/>
        <v>1289.8674961805855</v>
      </c>
      <c r="DM14" s="119">
        <f t="shared" si="49"/>
        <v>1413.2949379204961</v>
      </c>
    </row>
    <row r="15" spans="2:117" x14ac:dyDescent="0.25">
      <c r="B15" t="s">
        <v>116</v>
      </c>
      <c r="C15" s="9">
        <f>IFERROR(GETPIVOTDATA("[Measures].[Suma de valor]",base!$A$3,"[IF].[departamento_jerarquia2]","[IF].[departamento_jerarquia2].&amp;["&amp;C$5&amp;"]","[IF].[grupo_analisis]","[IF].[grupo_analisis].&amp;["&amp;$B15&amp;"]","[IF].[mes]","[IF].[mes].&amp;["&amp;C$8&amp;"]","[IF].[ano]","[IF].[ano].&amp;["&amp;C$7&amp;"]","[IF].[informacion]","[IF].[informacion].&amp;["&amp;C$9&amp;"]"),0)</f>
        <v>0</v>
      </c>
      <c r="D15" s="9">
        <f>IFERROR(GETPIVOTDATA("[Measures].[Suma de valor]",base!$A$3,"[IF].[departamento_jerarquia2]","[IF].[departamento_jerarquia2].&amp;["&amp;D$5&amp;"]","[IF].[grupo_analisis]","[IF].[grupo_analisis].&amp;["&amp;$B15&amp;"]","[IF].[mes]","[IF].[mes].&amp;["&amp;D$8&amp;"]","[IF].[ano]","[IF].[ano].&amp;["&amp;D$7&amp;"]","[IF].[informacion]","[IF].[informacion].&amp;["&amp;D$9&amp;"]"),0)</f>
        <v>0</v>
      </c>
      <c r="E15" s="9">
        <f t="shared" si="35"/>
        <v>0</v>
      </c>
      <c r="F15" s="9">
        <f>(IFERROR(GETPIVOTDATA("[Measures].[Suma de valor]",base!$A$3,"[IF].[departamento_jerarquia2]","[IF].[departamento_jerarquia2].&amp;["&amp;F$5&amp;"]","[IF].[grupo_analisis]","[IF].[grupo_analisis].&amp;["&amp;$B15&amp;"]","[IF].[mes]","[IF].[mes].&amp;["&amp;F$8&amp;"]","[IF].[ano]","[IF].[ano].&amp;["&amp;F$7&amp;"]","[IF].[informacion]","[IF].[informacion].&amp;["&amp;F$9&amp;"]"),0)*IF($B$2="Real",1,IF(F$8&lt;6,6/F$8,1)))*(1+G15)</f>
        <v>0</v>
      </c>
      <c r="G15" s="116">
        <v>0</v>
      </c>
      <c r="H15" s="12">
        <f t="shared" si="50"/>
        <v>0</v>
      </c>
      <c r="I15" s="116">
        <v>0</v>
      </c>
      <c r="J15" s="12">
        <f t="shared" si="36"/>
        <v>0</v>
      </c>
      <c r="K15" s="116">
        <v>0</v>
      </c>
      <c r="L15" s="119">
        <f>J15*(1+modelo!T32)</f>
        <v>0</v>
      </c>
      <c r="M15" s="116">
        <v>0</v>
      </c>
      <c r="N15" s="11"/>
      <c r="O15" s="9">
        <f>IFERROR(GETPIVOTDATA("[Measures].[Suma de valor]",base!$A$3,"[IF].[departamento_jerarquia2]","[IF].[departamento_jerarquia2].&amp;["&amp;O$5&amp;"]","[IF].[grupo_analisis]","[IF].[grupo_analisis].&amp;["&amp;$B15&amp;"]","[IF].[mes]","[IF].[mes].&amp;["&amp;O$8&amp;"]","[IF].[ano]","[IF].[ano].&amp;["&amp;O$7&amp;"]","[IF].[informacion]","[IF].[informacion].&amp;["&amp;O$9&amp;"]"),0)-AA15</f>
        <v>5.4600000000000009</v>
      </c>
      <c r="P15" s="9">
        <f>IFERROR(GETPIVOTDATA("[Measures].[Suma de valor]",base!$A$3,"[IF].[departamento_jerarquia2]","[IF].[departamento_jerarquia2].&amp;["&amp;P$5&amp;"]","[IF].[grupo_analisis]","[IF].[grupo_analisis].&amp;["&amp;$B15&amp;"]","[IF].[mes]","[IF].[mes].&amp;["&amp;P$8&amp;"]","[IF].[ano]","[IF].[ano].&amp;["&amp;P$7&amp;"]","[IF].[informacion]","[IF].[informacion].&amp;["&amp;P$9&amp;"]"),0)-AB15</f>
        <v>2.4297600000000017</v>
      </c>
      <c r="Q15" s="9">
        <f t="shared" si="37"/>
        <v>3.0302399999999992</v>
      </c>
      <c r="R15" s="9">
        <f>(IFERROR(GETPIVOTDATA("[Measures].[Suma de valor]",base!$A$3,"[IF].[departamento_jerarquia2]","[IF].[departamento_jerarquia2].&amp;["&amp;R$5&amp;"]","[IF].[grupo_analisis]","[IF].[grupo_analisis].&amp;["&amp;$B15&amp;"]","[IF].[mes]","[IF].[mes].&amp;["&amp;R$8&amp;"]","[IF].[ano]","[IF].[ano].&amp;["&amp;R$7&amp;"]","[IF].[informacion]","[IF].[informacion].&amp;["&amp;R$9&amp;"]"),0)*IF($B$2="Real",1,IF(R$8&lt;6,6/R$8,1))-AD15)*(1+S15)</f>
        <v>1.2119999999999997</v>
      </c>
      <c r="S15" s="116">
        <v>0</v>
      </c>
      <c r="T15" s="12">
        <f t="shared" ref="T15:T38" si="60">Q15*(1+U15)</f>
        <v>0.75755999999999979</v>
      </c>
      <c r="U15" s="116">
        <v>-0.75</v>
      </c>
      <c r="V15" s="12">
        <f>R15+T15</f>
        <v>1.9695599999999995</v>
      </c>
      <c r="W15" s="116">
        <v>0</v>
      </c>
      <c r="X15" s="119">
        <f>V15*(1+modelo!T32)</f>
        <v>1.9892555999999995</v>
      </c>
      <c r="Y15" s="116">
        <v>0</v>
      </c>
      <c r="Z15" s="11"/>
      <c r="AA15" s="9">
        <f>IFERROR(GETPIVOTDATA("[Measures].[Suma de valor]",base!$AN$5,"[IF].[grupo_analisis]","[IF].[grupo_analisis].&amp;["&amp;$B15&amp;"]","[IF].[mes]","[IF].[mes].&amp;["&amp;AA$8&amp;"]","[IF].[ano]","[IF].[ano].&amp;["&amp;AA$7&amp;"]","[IF].[informacion]","[IF].[informacion].&amp;["&amp;AA$9&amp;"]"),0)</f>
        <v>34.65</v>
      </c>
      <c r="AB15" s="9">
        <f>IFERROR(GETPIVOTDATA("[Measures].[Suma de valor]",base!$AN$5,"[IF].[grupo_analisis]","[IF].[grupo_analisis].&amp;["&amp;$B15&amp;"]","[IF].[mes]","[IF].[mes].&amp;["&amp;AB$8&amp;"]","[IF].[ano]","[IF].[ano].&amp;["&amp;AB$7&amp;"]","[IF].[informacion]","[IF].[informacion].&amp;["&amp;AB$9&amp;"]"),0)</f>
        <v>17.324999999999999</v>
      </c>
      <c r="AC15" s="9">
        <f t="shared" si="40"/>
        <v>17.324999999999999</v>
      </c>
      <c r="AD15" s="9">
        <f>(IFERROR(GETPIVOTDATA("[Measures].[Suma de valor]",base!$AN$5,"[IF].[grupo_analisis]","[IF].[grupo_analisis].&amp;["&amp;$B15&amp;"]","[IF].[mes]","[IF].[mes].&amp;["&amp;AD$8&amp;"]","[IF].[ano]","[IF].[ano].&amp;["&amp;AD$7&amp;"]","[IF].[informacion]","[IF].[informacion].&amp;["&amp;AD$9&amp;"]"),0)*IF($B$2="Real",1,IF(AD$8&lt;6,6/AD$8,1)))*(1+S15)</f>
        <v>8.1959999999999997</v>
      </c>
      <c r="AE15" s="116">
        <v>0</v>
      </c>
      <c r="AF15" s="12">
        <f t="shared" ref="AF15:AF38" si="61">AC15*(1+AG15)</f>
        <v>17.324999999999999</v>
      </c>
      <c r="AG15" s="116">
        <v>0</v>
      </c>
      <c r="AH15" s="12">
        <f t="shared" si="41"/>
        <v>25.521000000000001</v>
      </c>
      <c r="AI15" s="116">
        <v>0</v>
      </c>
      <c r="AJ15" s="119">
        <f t="shared" ref="AJ15:AJ20" si="62">AH15*(1+AK15)</f>
        <v>25.521000000000001</v>
      </c>
      <c r="AK15" s="116">
        <v>0</v>
      </c>
      <c r="AL15" s="11"/>
      <c r="AM15" s="9">
        <v>0</v>
      </c>
      <c r="AN15" s="9">
        <v>0</v>
      </c>
      <c r="AO15" s="9">
        <v>0</v>
      </c>
      <c r="AP15" s="9">
        <v>20.544</v>
      </c>
      <c r="AQ15" s="116">
        <v>0</v>
      </c>
      <c r="AR15" s="12">
        <v>0</v>
      </c>
      <c r="AS15" s="116">
        <v>0</v>
      </c>
      <c r="AT15" s="12">
        <v>20.544</v>
      </c>
      <c r="AU15" s="116">
        <v>0</v>
      </c>
      <c r="AV15" s="119">
        <f>AT15*(1+AW15)</f>
        <v>20.544</v>
      </c>
      <c r="AW15" s="116">
        <v>0</v>
      </c>
      <c r="AX15" s="11"/>
      <c r="AY15" s="9">
        <f>IFERROR(GETPIVOTDATA("[Measures].[Suma de valor]",base!$A$3,"[IF].[departamento_jerarquia2]","[IF].[departamento_jerarquia2].&amp;["&amp;AY$5&amp;"]","[IF].[grupo_analisis]","[IF].[grupo_analisis].&amp;["&amp;$B15&amp;"]","[IF].[mes]","[IF].[mes].&amp;["&amp;AY$8&amp;"]","[IF].[ano]","[IF].[ano].&amp;["&amp;AY$7&amp;"]","[IF].[informacion]","[IF].[informacion].&amp;["&amp;AY$9&amp;"]"),0)-AY18</f>
        <v>0</v>
      </c>
      <c r="AZ15" s="9">
        <f>IFERROR(GETPIVOTDATA("[Measures].[Suma de valor]",base!$A$3,"[IF].[departamento_jerarquia2]","[IF].[departamento_jerarquia2].&amp;["&amp;AZ$5&amp;"]","[IF].[grupo_analisis]","[IF].[grupo_analisis].&amp;["&amp;$B15&amp;"]","[IF].[mes]","[IF].[mes].&amp;["&amp;AZ$8&amp;"]","[IF].[ano]","[IF].[ano].&amp;["&amp;AZ$7&amp;"]","[IF].[informacion]","[IF].[informacion].&amp;["&amp;AZ$9&amp;"]"),0)-AZ18</f>
        <v>0</v>
      </c>
      <c r="BA15" s="9">
        <f t="shared" si="42"/>
        <v>0</v>
      </c>
      <c r="BB15" s="9">
        <f>(IFERROR(GETPIVOTDATA("[Measures].[Suma de valor]",base!$A$3,"[IF].[departamento_jerarquia2]","[IF].[departamento_jerarquia2].&amp;["&amp;BB$5&amp;"]","[IF].[grupo_analisis]","[IF].[grupo_analisis].&amp;["&amp;$B15&amp;"]","[IF].[mes]","[IF].[mes].&amp;["&amp;BB$8&amp;"]","[IF].[ano]","[IF].[ano].&amp;["&amp;BB$7&amp;"]","[IF].[informacion]","[IF].[informacion].&amp;["&amp;BB$9&amp;"]"),0)*IF($B$2="Real",1,IF(BB$8&lt;6,6/BB$8,1)))*(1+BC15)</f>
        <v>0</v>
      </c>
      <c r="BC15" s="116">
        <v>0</v>
      </c>
      <c r="BD15" s="12">
        <f t="shared" si="52"/>
        <v>0</v>
      </c>
      <c r="BE15" s="116">
        <v>0</v>
      </c>
      <c r="BF15" s="12">
        <f t="shared" si="43"/>
        <v>0</v>
      </c>
      <c r="BG15" s="116">
        <v>0</v>
      </c>
      <c r="BH15" s="119">
        <f t="shared" si="53"/>
        <v>0</v>
      </c>
      <c r="BI15" s="116">
        <v>0</v>
      </c>
      <c r="BJ15" s="11"/>
      <c r="BK15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15&amp;"]"),0)</f>
        <v>43.5</v>
      </c>
      <c r="BL15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15&amp;"]"),0)</f>
        <v>24.99945</v>
      </c>
      <c r="BM15" s="9">
        <f>BK15-BL15</f>
        <v>18.50055</v>
      </c>
      <c r="BN15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15&amp;"]"),0)*IF($B$2="Real",1,IF(BN$8&lt;6,6/BN$8,1)))*(1+BO15)</f>
        <v>23.200799999999997</v>
      </c>
      <c r="BO15" s="116">
        <v>0</v>
      </c>
      <c r="BP15" s="12">
        <f>BM15*(1+BQ15)</f>
        <v>33.300989999999999</v>
      </c>
      <c r="BQ15" s="116">
        <v>0.8</v>
      </c>
      <c r="BR15" s="12">
        <f>BN15+BP15</f>
        <v>56.50179</v>
      </c>
      <c r="BS15" s="116">
        <v>0</v>
      </c>
      <c r="BT15" s="119">
        <f>BR15*(1+modelo!T30)</f>
        <v>59.044370549999996</v>
      </c>
      <c r="BU15" s="116">
        <v>0</v>
      </c>
      <c r="BV15" s="11"/>
      <c r="BW15" s="9">
        <f>IFERROR(GETPIVOTDATA("[Measures].[Suma de valor]",base!$A$3,"[IF].[departamento_jerarquia2]","[IF].[departamento_jerarquia2].&amp;["&amp;BW$5&amp;"]","[IF].[grupo_analisis]","[IF].[grupo_analisis].&amp;["&amp;$B15&amp;"]","[IF].[mes]","[IF].[mes].&amp;["&amp;BW$8&amp;"]","[IF].[ano]","[IF].[ano].&amp;["&amp;BW$7&amp;"]","[IF].[informacion]","[IF].[informacion].&amp;["&amp;BW$9&amp;"]"),0)-BW18</f>
        <v>0</v>
      </c>
      <c r="BX15" s="9">
        <f>IFERROR(GETPIVOTDATA("[Measures].[Suma de valor]",base!$A$3,"[IF].[departamento_jerarquia2]","[IF].[departamento_jerarquia2].&amp;["&amp;BX$5&amp;"]","[IF].[grupo_analisis]","[IF].[grupo_analisis].&amp;["&amp;$B15&amp;"]","[IF].[mes]","[IF].[mes].&amp;["&amp;BX$8&amp;"]","[IF].[ano]","[IF].[ano].&amp;["&amp;BX$7&amp;"]","[IF].[informacion]","[IF].[informacion].&amp;["&amp;BX$9&amp;"]"),0)-BX18</f>
        <v>0</v>
      </c>
      <c r="BY15" s="9">
        <f t="shared" si="46"/>
        <v>0</v>
      </c>
      <c r="BZ15" s="9">
        <f>(IFERROR(GETPIVOTDATA("[Measures].[Suma de valor]",base!$A$3,"[IF].[departamento_jerarquia2]","[IF].[departamento_jerarquia2].&amp;["&amp;BZ$5&amp;"]","[IF].[grupo_analisis]","[IF].[grupo_analisis].&amp;["&amp;$B15&amp;"]","[IF].[mes]","[IF].[mes].&amp;["&amp;BZ$8&amp;"]","[IF].[ano]","[IF].[ano].&amp;["&amp;BZ$7&amp;"]","[IF].[informacion]","[IF].[informacion].&amp;["&amp;BZ$9&amp;"]"),0)*IF($B$2="Real",1,IF(BZ$8&lt;6,6/BZ$8,1)))*(1+CA15)</f>
        <v>0</v>
      </c>
      <c r="CA15" s="116">
        <v>0</v>
      </c>
      <c r="CB15" s="12">
        <f t="shared" si="56"/>
        <v>0</v>
      </c>
      <c r="CC15" s="116">
        <v>0</v>
      </c>
      <c r="CD15" s="12">
        <f t="shared" si="47"/>
        <v>0</v>
      </c>
      <c r="CE15" s="116">
        <v>0</v>
      </c>
      <c r="CF15" s="119">
        <f t="shared" si="57"/>
        <v>0</v>
      </c>
      <c r="CG15" s="116">
        <v>0</v>
      </c>
      <c r="CH15" s="11"/>
      <c r="CI15" s="9"/>
      <c r="CJ15" s="9"/>
      <c r="CK15" s="9"/>
      <c r="CL15" s="9"/>
      <c r="CM15" s="116"/>
      <c r="CN15" s="12"/>
      <c r="CO15" s="116"/>
      <c r="CP15" s="12"/>
      <c r="CQ15" s="116"/>
      <c r="CR15" s="119"/>
      <c r="CS15" s="116"/>
      <c r="CT15" s="11"/>
      <c r="CU15" s="9"/>
      <c r="CV15" s="9"/>
      <c r="CW15" s="9"/>
      <c r="CX15" s="9"/>
      <c r="CY15" s="116"/>
      <c r="CZ15" s="12"/>
      <c r="DA15" s="116"/>
      <c r="DB15" s="12"/>
      <c r="DC15" s="116"/>
      <c r="DD15" s="119"/>
      <c r="DE15" s="116"/>
      <c r="DF15" s="11"/>
      <c r="DG15" s="9">
        <f>C15+O15+AA15+AM15+AY15+BK15+BW15+CI15+CU15</f>
        <v>83.61</v>
      </c>
      <c r="DH15" s="12">
        <f>J15+V15+AH15+AT15+BF15+BR15+CD15+CP15+DB15</f>
        <v>104.53635</v>
      </c>
      <c r="DI15" s="119">
        <f t="shared" si="59"/>
        <v>107.09862615</v>
      </c>
      <c r="DK15" s="9">
        <f t="shared" si="49"/>
        <v>83.61</v>
      </c>
      <c r="DL15" s="12">
        <f t="shared" si="49"/>
        <v>104.53635</v>
      </c>
      <c r="DM15" s="119">
        <f t="shared" si="49"/>
        <v>107.09862615</v>
      </c>
    </row>
    <row r="16" spans="2:117" x14ac:dyDescent="0.25">
      <c r="B16" t="s">
        <v>117</v>
      </c>
      <c r="C16" s="9">
        <f>IFERROR(GETPIVOTDATA("[Measures].[Suma de valor]",base!$A$3,"[IF].[departamento_jerarquia2]","[IF].[departamento_jerarquia2].&amp;["&amp;C$5&amp;"]","[IF].[grupo_analisis]","[IF].[grupo_analisis].&amp;["&amp;$B16&amp;"]","[IF].[mes]","[IF].[mes].&amp;["&amp;C$8&amp;"]","[IF].[ano]","[IF].[ano].&amp;["&amp;C$7&amp;"]","[IF].[informacion]","[IF].[informacion].&amp;["&amp;C$9&amp;"]"),0)</f>
        <v>0</v>
      </c>
      <c r="D16" s="9">
        <f>IFERROR(GETPIVOTDATA("[Measures].[Suma de valor]",base!$A$3,"[IF].[departamento_jerarquia2]","[IF].[departamento_jerarquia2].&amp;["&amp;D$5&amp;"]","[IF].[grupo_analisis]","[IF].[grupo_analisis].&amp;["&amp;$B16&amp;"]","[IF].[mes]","[IF].[mes].&amp;["&amp;D$8&amp;"]","[IF].[ano]","[IF].[ano].&amp;["&amp;D$7&amp;"]","[IF].[informacion]","[IF].[informacion].&amp;["&amp;D$9&amp;"]"),0)</f>
        <v>0</v>
      </c>
      <c r="E16" s="9">
        <f t="shared" si="35"/>
        <v>0</v>
      </c>
      <c r="F16" s="9">
        <f>(IFERROR(GETPIVOTDATA("[Measures].[Suma de valor]",base!$A$3,"[IF].[departamento_jerarquia2]","[IF].[departamento_jerarquia2].&amp;["&amp;F$5&amp;"]","[IF].[grupo_analisis]","[IF].[grupo_analisis].&amp;["&amp;$B16&amp;"]","[IF].[mes]","[IF].[mes].&amp;["&amp;F$8&amp;"]","[IF].[ano]","[IF].[ano].&amp;["&amp;F$7&amp;"]","[IF].[informacion]","[IF].[informacion].&amp;["&amp;F$9&amp;"]"),0)*IF($B$2="Real",1,IF(F$8&lt;6,6/F$8,1)))*(1+G16)</f>
        <v>0</v>
      </c>
      <c r="G16" s="116">
        <v>0</v>
      </c>
      <c r="H16" s="12">
        <f t="shared" si="50"/>
        <v>0</v>
      </c>
      <c r="I16" s="116">
        <v>0</v>
      </c>
      <c r="J16" s="12">
        <f t="shared" si="36"/>
        <v>0</v>
      </c>
      <c r="K16" s="116">
        <v>0</v>
      </c>
      <c r="L16" s="119">
        <f>J16*(1+modelo!T32)</f>
        <v>0</v>
      </c>
      <c r="M16" s="116">
        <v>0</v>
      </c>
      <c r="N16" s="11"/>
      <c r="O16" s="9">
        <f>IFERROR(GETPIVOTDATA("[Measures].[Suma de valor]",base!$A$3,"[IF].[departamento_jerarquia2]","[IF].[departamento_jerarquia2].&amp;["&amp;O$5&amp;"]","[IF].[grupo_analisis]","[IF].[grupo_analisis].&amp;["&amp;$B16&amp;"]","[IF].[mes]","[IF].[mes].&amp;["&amp;O$8&amp;"]","[IF].[ano]","[IF].[ano].&amp;["&amp;O$7&amp;"]","[IF].[informacion]","[IF].[informacion].&amp;["&amp;O$9&amp;"]"),0)-AA16</f>
        <v>0</v>
      </c>
      <c r="P16" s="9">
        <f>IFERROR(GETPIVOTDATA("[Measures].[Suma de valor]",base!$A$3,"[IF].[departamento_jerarquia2]","[IF].[departamento_jerarquia2].&amp;["&amp;P$5&amp;"]","[IF].[grupo_analisis]","[IF].[grupo_analisis].&amp;["&amp;$B16&amp;"]","[IF].[mes]","[IF].[mes].&amp;["&amp;P$8&amp;"]","[IF].[ano]","[IF].[ano].&amp;["&amp;P$7&amp;"]","[IF].[informacion]","[IF].[informacion].&amp;["&amp;P$9&amp;"]"),0)-AB16</f>
        <v>0</v>
      </c>
      <c r="Q16" s="9">
        <f t="shared" si="37"/>
        <v>0</v>
      </c>
      <c r="R16" s="9">
        <f>(IFERROR(GETPIVOTDATA("[Measures].[Suma de valor]",base!$A$3,"[IF].[departamento_jerarquia2]","[IF].[departamento_jerarquia2].&amp;["&amp;R$5&amp;"]","[IF].[grupo_analisis]","[IF].[grupo_analisis].&amp;["&amp;$B16&amp;"]","[IF].[mes]","[IF].[mes].&amp;["&amp;R$8&amp;"]","[IF].[ano]","[IF].[ano].&amp;["&amp;R$7&amp;"]","[IF].[informacion]","[IF].[informacion].&amp;["&amp;R$9&amp;"]"),0)*IF($B$2="Real",1,IF(R$8&lt;6,6/R$8,1))-AD16)*(1+S16)</f>
        <v>0</v>
      </c>
      <c r="S16" s="116">
        <v>0</v>
      </c>
      <c r="T16" s="12">
        <f t="shared" si="60"/>
        <v>0</v>
      </c>
      <c r="U16" s="116">
        <v>0</v>
      </c>
      <c r="V16" s="12">
        <f t="shared" si="38"/>
        <v>0</v>
      </c>
      <c r="W16" s="116">
        <v>0</v>
      </c>
      <c r="X16" s="119">
        <f>V16*(1+modelo!T32)</f>
        <v>0</v>
      </c>
      <c r="Y16" s="116">
        <v>0</v>
      </c>
      <c r="Z16" s="11"/>
      <c r="AA16" s="9">
        <f>IFERROR(GETPIVOTDATA("[Measures].[Suma de valor]",base!$AN$5,"[IF].[grupo_analisis]","[IF].[grupo_analisis].&amp;["&amp;$B16&amp;"]","[IF].[mes]","[IF].[mes].&amp;["&amp;AA$8&amp;"]","[IF].[ano]","[IF].[ano].&amp;["&amp;AA$7&amp;"]","[IF].[informacion]","[IF].[informacion].&amp;["&amp;AA$9&amp;"]"),0)</f>
        <v>0</v>
      </c>
      <c r="AB16" s="9">
        <f>IFERROR(GETPIVOTDATA("[Measures].[Suma de valor]",base!$AN$5,"[IF].[grupo_analisis]","[IF].[grupo_analisis].&amp;["&amp;$B16&amp;"]","[IF].[mes]","[IF].[mes].&amp;["&amp;AB$8&amp;"]","[IF].[ano]","[IF].[ano].&amp;["&amp;AB$7&amp;"]","[IF].[informacion]","[IF].[informacion].&amp;["&amp;AB$9&amp;"]"),0)</f>
        <v>0</v>
      </c>
      <c r="AC16" s="9">
        <f t="shared" si="40"/>
        <v>0</v>
      </c>
      <c r="AD16" s="9">
        <f>(IFERROR(GETPIVOTDATA("[Measures].[Suma de valor]",base!$AN$5,"[IF].[grupo_analisis]","[IF].[grupo_analisis].&amp;["&amp;$B16&amp;"]","[IF].[mes]","[IF].[mes].&amp;["&amp;AD$8&amp;"]","[IF].[ano]","[IF].[ano].&amp;["&amp;AD$7&amp;"]","[IF].[informacion]","[IF].[informacion].&amp;["&amp;AD$9&amp;"]"),0)*IF($B$2="Real",1,IF(AD$8&lt;6,6/AD$8,1)))*(1+S16)</f>
        <v>0</v>
      </c>
      <c r="AE16" s="116">
        <v>0</v>
      </c>
      <c r="AF16" s="12">
        <f t="shared" si="61"/>
        <v>0</v>
      </c>
      <c r="AG16" s="116">
        <v>0</v>
      </c>
      <c r="AH16" s="12">
        <f t="shared" si="41"/>
        <v>0</v>
      </c>
      <c r="AI16" s="116">
        <v>0</v>
      </c>
      <c r="AJ16" s="119">
        <f t="shared" si="62"/>
        <v>0</v>
      </c>
      <c r="AK16" s="116">
        <v>0</v>
      </c>
      <c r="AL16" s="11"/>
      <c r="AM16" s="9">
        <v>60</v>
      </c>
      <c r="AN16" s="9">
        <v>29.501999999999999</v>
      </c>
      <c r="AO16" s="9">
        <v>30.498000000000001</v>
      </c>
      <c r="AP16" s="9">
        <v>3.9269999999999996</v>
      </c>
      <c r="AQ16" s="116">
        <v>0</v>
      </c>
      <c r="AR16" s="12">
        <v>30.498000000000001</v>
      </c>
      <c r="AS16" s="116">
        <v>0</v>
      </c>
      <c r="AT16" s="12">
        <v>32.6</v>
      </c>
      <c r="AU16" s="116">
        <v>0</v>
      </c>
      <c r="AV16" s="119">
        <f>AT16*(1+AW16)</f>
        <v>39.119999999999997</v>
      </c>
      <c r="AW16" s="116">
        <v>0.2</v>
      </c>
      <c r="AX16" s="11"/>
      <c r="AY16" s="9">
        <f>IFERROR(GETPIVOTDATA("[Measures].[Suma de valor]",base!$A$3,"[IF].[departamento_jerarquia2]","[IF].[departamento_jerarquia2].&amp;["&amp;AY$5&amp;"]","[IF].[grupo_analisis]","[IF].[grupo_analisis].&amp;["&amp;$B16&amp;"]","[IF].[mes]","[IF].[mes].&amp;["&amp;AY$8&amp;"]","[IF].[ano]","[IF].[ano].&amp;["&amp;AY$7&amp;"]","[IF].[informacion]","[IF].[informacion].&amp;["&amp;AY$9&amp;"]"),0)</f>
        <v>0</v>
      </c>
      <c r="AZ16" s="9">
        <f>IFERROR(GETPIVOTDATA("[Measures].[Suma de valor]",base!$A$3,"[IF].[departamento_jerarquia2]","[IF].[departamento_jerarquia2].&amp;["&amp;AZ$5&amp;"]","[IF].[grupo_analisis]","[IF].[grupo_analisis].&amp;["&amp;$B16&amp;"]","[IF].[mes]","[IF].[mes].&amp;["&amp;AZ$8&amp;"]","[IF].[ano]","[IF].[ano].&amp;["&amp;AZ$7&amp;"]","[IF].[informacion]","[IF].[informacion].&amp;["&amp;AZ$9&amp;"]"),0)</f>
        <v>0</v>
      </c>
      <c r="BA16" s="9">
        <f t="shared" si="42"/>
        <v>0</v>
      </c>
      <c r="BB16" s="9">
        <f>(IFERROR(GETPIVOTDATA("[Measures].[Suma de valor]",base!$A$3,"[IF].[departamento_jerarquia2]","[IF].[departamento_jerarquia2].&amp;["&amp;BB$5&amp;"]","[IF].[grupo_analisis]","[IF].[grupo_analisis].&amp;["&amp;$B16&amp;"]","[IF].[mes]","[IF].[mes].&amp;["&amp;BB$8&amp;"]","[IF].[ano]","[IF].[ano].&amp;["&amp;BB$7&amp;"]","[IF].[informacion]","[IF].[informacion].&amp;["&amp;BB$9&amp;"]"),0)*IF($B$2="Real",1,IF(BB$8&lt;6,6/BB$8,1)))*(1+BC16)</f>
        <v>0</v>
      </c>
      <c r="BC16" s="116">
        <v>0</v>
      </c>
      <c r="BD16" s="12">
        <f t="shared" si="52"/>
        <v>0</v>
      </c>
      <c r="BE16" s="116">
        <v>0</v>
      </c>
      <c r="BF16" s="12">
        <f t="shared" si="43"/>
        <v>0</v>
      </c>
      <c r="BG16" s="116">
        <v>0</v>
      </c>
      <c r="BH16" s="119">
        <f t="shared" si="53"/>
        <v>0</v>
      </c>
      <c r="BI16" s="116">
        <v>0</v>
      </c>
      <c r="BJ16" s="11"/>
      <c r="BK16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16&amp;"]"),0)</f>
        <v>0</v>
      </c>
      <c r="BL16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16&amp;"]"),0)</f>
        <v>0</v>
      </c>
      <c r="BM16" s="9">
        <f t="shared" si="44"/>
        <v>0</v>
      </c>
      <c r="BN16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16&amp;"]"),0)*IF($B$2="Real",1,IF(BN$8&lt;6,6/BN$8,1)))*(1+BO16)</f>
        <v>0</v>
      </c>
      <c r="BO16" s="116">
        <v>0</v>
      </c>
      <c r="BP16" s="12">
        <f t="shared" si="54"/>
        <v>0</v>
      </c>
      <c r="BQ16" s="116">
        <v>0</v>
      </c>
      <c r="BR16" s="12">
        <f t="shared" si="45"/>
        <v>0</v>
      </c>
      <c r="BS16" s="116">
        <v>0</v>
      </c>
      <c r="BT16" s="119">
        <f t="shared" si="55"/>
        <v>0</v>
      </c>
      <c r="BU16" s="116">
        <v>0</v>
      </c>
      <c r="BV16" s="11"/>
      <c r="BW16" s="9">
        <f>IFERROR(GETPIVOTDATA("[Measures].[Suma de valor]",base!$A$3,"[IF].[departamento_jerarquia2]","[IF].[departamento_jerarquia2].&amp;["&amp;BW$5&amp;"]","[IF].[grupo_analisis]","[IF].[grupo_analisis].&amp;["&amp;$B16&amp;"]","[IF].[mes]","[IF].[mes].&amp;["&amp;BW$8&amp;"]","[IF].[ano]","[IF].[ano].&amp;["&amp;BW$7&amp;"]","[IF].[informacion]","[IF].[informacion].&amp;["&amp;BW$9&amp;"]"),0)</f>
        <v>0</v>
      </c>
      <c r="BX16" s="9">
        <f>IFERROR(GETPIVOTDATA("[Measures].[Suma de valor]",base!$A$3,"[IF].[departamento_jerarquia2]","[IF].[departamento_jerarquia2].&amp;["&amp;BX$5&amp;"]","[IF].[grupo_analisis]","[IF].[grupo_analisis].&amp;["&amp;$B16&amp;"]","[IF].[mes]","[IF].[mes].&amp;["&amp;BX$8&amp;"]","[IF].[ano]","[IF].[ano].&amp;["&amp;BX$7&amp;"]","[IF].[informacion]","[IF].[informacion].&amp;["&amp;BX$9&amp;"]"),0)</f>
        <v>0</v>
      </c>
      <c r="BY16" s="9">
        <f t="shared" si="46"/>
        <v>0</v>
      </c>
      <c r="BZ16" s="9">
        <f>(IFERROR(GETPIVOTDATA("[Measures].[Suma de valor]",base!$A$3,"[IF].[departamento_jerarquia2]","[IF].[departamento_jerarquia2].&amp;["&amp;BZ$5&amp;"]","[IF].[grupo_analisis]","[IF].[grupo_analisis].&amp;["&amp;$B16&amp;"]","[IF].[mes]","[IF].[mes].&amp;["&amp;BZ$8&amp;"]","[IF].[ano]","[IF].[ano].&amp;["&amp;BZ$7&amp;"]","[IF].[informacion]","[IF].[informacion].&amp;["&amp;BZ$9&amp;"]"),0)*IF($B$2="Real",1,IF(BZ$8&lt;6,6/BZ$8,1)))*(1+CA16)</f>
        <v>0</v>
      </c>
      <c r="CA16" s="116">
        <v>0</v>
      </c>
      <c r="CB16" s="12">
        <f t="shared" si="56"/>
        <v>0</v>
      </c>
      <c r="CC16" s="116">
        <v>0</v>
      </c>
      <c r="CD16" s="12">
        <f t="shared" si="47"/>
        <v>0</v>
      </c>
      <c r="CE16" s="116">
        <v>0</v>
      </c>
      <c r="CF16" s="119">
        <f t="shared" si="57"/>
        <v>0</v>
      </c>
      <c r="CG16" s="116">
        <v>0</v>
      </c>
      <c r="CH16" s="11"/>
      <c r="CI16" s="9"/>
      <c r="CJ16" s="9"/>
      <c r="CK16" s="9"/>
      <c r="CL16" s="9"/>
      <c r="CM16" s="116"/>
      <c r="CN16" s="12"/>
      <c r="CO16" s="116"/>
      <c r="CP16" s="12"/>
      <c r="CQ16" s="116"/>
      <c r="CR16" s="119"/>
      <c r="CS16" s="116"/>
      <c r="CT16" s="11"/>
      <c r="CU16" s="9"/>
      <c r="CV16" s="9"/>
      <c r="CW16" s="9"/>
      <c r="CX16" s="9"/>
      <c r="CY16" s="116"/>
      <c r="CZ16" s="12"/>
      <c r="DA16" s="116"/>
      <c r="DB16" s="12"/>
      <c r="DC16" s="116"/>
      <c r="DD16" s="119"/>
      <c r="DE16" s="116"/>
      <c r="DF16" s="11"/>
      <c r="DG16" s="9">
        <f t="shared" si="58"/>
        <v>60</v>
      </c>
      <c r="DH16" s="12">
        <f t="shared" si="48"/>
        <v>32.6</v>
      </c>
      <c r="DI16" s="119">
        <f t="shared" si="59"/>
        <v>39.119999999999997</v>
      </c>
      <c r="DK16" s="9">
        <f t="shared" si="49"/>
        <v>60</v>
      </c>
      <c r="DL16" s="12">
        <f t="shared" si="49"/>
        <v>32.6</v>
      </c>
      <c r="DM16" s="119">
        <f t="shared" si="49"/>
        <v>39.119999999999997</v>
      </c>
    </row>
    <row r="17" spans="1:117" x14ac:dyDescent="0.25">
      <c r="B17" t="s">
        <v>105</v>
      </c>
      <c r="C17" s="9">
        <f>IFERROR(GETPIVOTDATA("[Measures].[Suma de valor]",base!$A$3,"[IF].[departamento_jerarquia2]","[IF].[departamento_jerarquia2].&amp;["&amp;C$5&amp;"]","[IF].[grupo_analisis]","[IF].[grupo_analisis].&amp;["&amp;$B17&amp;"]","[IF].[mes]","[IF].[mes].&amp;["&amp;C$8&amp;"]","[IF].[ano]","[IF].[ano].&amp;["&amp;C$7&amp;"]","[IF].[informacion]","[IF].[informacion].&amp;["&amp;C$9&amp;"]"),0)</f>
        <v>0</v>
      </c>
      <c r="D17" s="9">
        <f>IFERROR(GETPIVOTDATA("[Measures].[Suma de valor]",base!$A$3,"[IF].[departamento_jerarquia2]","[IF].[departamento_jerarquia2].&amp;["&amp;D$5&amp;"]","[IF].[grupo_analisis]","[IF].[grupo_analisis].&amp;["&amp;$B17&amp;"]","[IF].[mes]","[IF].[mes].&amp;["&amp;D$8&amp;"]","[IF].[ano]","[IF].[ano].&amp;["&amp;D$7&amp;"]","[IF].[informacion]","[IF].[informacion].&amp;["&amp;D$9&amp;"]"),0)</f>
        <v>0</v>
      </c>
      <c r="E17" s="9">
        <f t="shared" si="35"/>
        <v>0</v>
      </c>
      <c r="F17" s="9">
        <f>(IFERROR(GETPIVOTDATA("[Measures].[Suma de valor]",base!$A$3,"[IF].[departamento_jerarquia2]","[IF].[departamento_jerarquia2].&amp;["&amp;F$5&amp;"]","[IF].[grupo_analisis]","[IF].[grupo_analisis].&amp;["&amp;$B17&amp;"]","[IF].[mes]","[IF].[mes].&amp;["&amp;F$8&amp;"]","[IF].[ano]","[IF].[ano].&amp;["&amp;F$7&amp;"]","[IF].[informacion]","[IF].[informacion].&amp;["&amp;F$9&amp;"]"),0)*IF($B$2="Real",1,IF(F$8&lt;6,6/F$8,1)))*(1+G17)</f>
        <v>0</v>
      </c>
      <c r="G17" s="116">
        <v>0</v>
      </c>
      <c r="H17" s="12">
        <f t="shared" si="50"/>
        <v>0</v>
      </c>
      <c r="I17" s="116">
        <v>0</v>
      </c>
      <c r="J17" s="12">
        <f t="shared" si="36"/>
        <v>0</v>
      </c>
      <c r="K17" s="116">
        <v>0</v>
      </c>
      <c r="L17" s="119">
        <f t="shared" si="51"/>
        <v>0</v>
      </c>
      <c r="M17" s="116">
        <v>0</v>
      </c>
      <c r="N17" s="11"/>
      <c r="O17" s="9">
        <f>IFERROR(GETPIVOTDATA("[Measures].[Suma de valor]",base!$A$3,"[IF].[departamento_jerarquia2]","[IF].[departamento_jerarquia2].&amp;["&amp;O$5&amp;"]","[IF].[grupo_analisis]","[IF].[grupo_analisis].&amp;["&amp;$B17&amp;"]","[IF].[mes]","[IF].[mes].&amp;["&amp;O$8&amp;"]","[IF].[ano]","[IF].[ano].&amp;["&amp;O$7&amp;"]","[IF].[informacion]","[IF].[informacion].&amp;["&amp;O$9&amp;"]"),0)-AA17</f>
        <v>0</v>
      </c>
      <c r="P17" s="9">
        <f>IFERROR(GETPIVOTDATA("[Measures].[Suma de valor]",base!$A$3,"[IF].[departamento_jerarquia2]","[IF].[departamento_jerarquia2].&amp;["&amp;P$5&amp;"]","[IF].[grupo_analisis]","[IF].[grupo_analisis].&amp;["&amp;$B17&amp;"]","[IF].[mes]","[IF].[mes].&amp;["&amp;P$8&amp;"]","[IF].[ano]","[IF].[ano].&amp;["&amp;P$7&amp;"]","[IF].[informacion]","[IF].[informacion].&amp;["&amp;P$9&amp;"]"),0)-AB17</f>
        <v>0</v>
      </c>
      <c r="Q17" s="9">
        <f t="shared" si="37"/>
        <v>0</v>
      </c>
      <c r="R17" s="9">
        <f>(IFERROR(GETPIVOTDATA("[Measures].[Suma de valor]",base!$A$3,"[IF].[departamento_jerarquia2]","[IF].[departamento_jerarquia2].&amp;["&amp;R$5&amp;"]","[IF].[grupo_analisis]","[IF].[grupo_analisis].&amp;["&amp;$B17&amp;"]","[IF].[mes]","[IF].[mes].&amp;["&amp;R$8&amp;"]","[IF].[ano]","[IF].[ano].&amp;["&amp;R$7&amp;"]","[IF].[informacion]","[IF].[informacion].&amp;["&amp;R$9&amp;"]"),0)*IF($B$2="Real",1,IF(R$8&lt;6,6/R$8,1))-AD17)*(1+S17)</f>
        <v>0</v>
      </c>
      <c r="S17" s="116">
        <v>0</v>
      </c>
      <c r="T17" s="12">
        <f t="shared" si="60"/>
        <v>0</v>
      </c>
      <c r="U17" s="116">
        <v>0</v>
      </c>
      <c r="V17" s="12">
        <f t="shared" si="38"/>
        <v>0</v>
      </c>
      <c r="W17" s="116">
        <v>0</v>
      </c>
      <c r="X17" s="119">
        <f t="shared" ref="X17:X20" si="63">V17*(1+Y17)</f>
        <v>0</v>
      </c>
      <c r="Y17" s="116">
        <v>0</v>
      </c>
      <c r="Z17" s="11"/>
      <c r="AA17" s="9">
        <f>IFERROR(GETPIVOTDATA("[Measures].[Suma de valor]",base!$AN$5,"[IF].[grupo_analisis]","[IF].[grupo_analisis].&amp;["&amp;$B17&amp;"]","[IF].[mes]","[IF].[mes].&amp;["&amp;AA$8&amp;"]","[IF].[ano]","[IF].[ano].&amp;["&amp;AA$7&amp;"]","[IF].[informacion]","[IF].[informacion].&amp;["&amp;AA$9&amp;"]"),0)</f>
        <v>0</v>
      </c>
      <c r="AB17" s="9">
        <f>IFERROR(GETPIVOTDATA("[Measures].[Suma de valor]",base!$AN$5,"[IF].[grupo_analisis]","[IF].[grupo_analisis].&amp;["&amp;$B17&amp;"]","[IF].[mes]","[IF].[mes].&amp;["&amp;AB$8&amp;"]","[IF].[ano]","[IF].[ano].&amp;["&amp;AB$7&amp;"]","[IF].[informacion]","[IF].[informacion].&amp;["&amp;AB$9&amp;"]"),0)</f>
        <v>0</v>
      </c>
      <c r="AC17" s="9">
        <f t="shared" si="40"/>
        <v>0</v>
      </c>
      <c r="AD17" s="9">
        <f>(IFERROR(GETPIVOTDATA("[Measures].[Suma de valor]",base!$AN$5,"[IF].[grupo_analisis]","[IF].[grupo_analisis].&amp;["&amp;$B17&amp;"]","[IF].[mes]","[IF].[mes].&amp;["&amp;AD$8&amp;"]","[IF].[ano]","[IF].[ano].&amp;["&amp;AD$7&amp;"]","[IF].[informacion]","[IF].[informacion].&amp;["&amp;AD$9&amp;"]"),0)*IF($B$2="Real",1,IF(AD$8&lt;6,6/AD$8,1)))*(1+S17)</f>
        <v>0</v>
      </c>
      <c r="AE17" s="116">
        <v>0</v>
      </c>
      <c r="AF17" s="12">
        <f t="shared" si="61"/>
        <v>0</v>
      </c>
      <c r="AG17" s="116">
        <v>0</v>
      </c>
      <c r="AH17" s="12">
        <f t="shared" si="41"/>
        <v>0</v>
      </c>
      <c r="AI17" s="116">
        <v>0</v>
      </c>
      <c r="AJ17" s="119">
        <f t="shared" si="62"/>
        <v>0</v>
      </c>
      <c r="AK17" s="116">
        <v>0</v>
      </c>
      <c r="AL17" s="11"/>
      <c r="AM17" s="9">
        <v>50</v>
      </c>
      <c r="AN17" s="9">
        <v>20</v>
      </c>
      <c r="AO17" s="9">
        <v>30</v>
      </c>
      <c r="AP17" s="9">
        <v>0</v>
      </c>
      <c r="AQ17" s="116">
        <v>0</v>
      </c>
      <c r="AR17" s="12">
        <v>30</v>
      </c>
      <c r="AS17" s="116">
        <v>0</v>
      </c>
      <c r="AT17" s="12">
        <v>0</v>
      </c>
      <c r="AU17" s="116">
        <v>0</v>
      </c>
      <c r="AV17" s="119">
        <v>26.434999999999999</v>
      </c>
      <c r="AW17" s="116">
        <v>0</v>
      </c>
      <c r="AX17" s="11"/>
      <c r="AY17" s="9">
        <f>IFERROR(GETPIVOTDATA("[Measures].[Suma de valor]",base!$A$3,"[IF].[departamento_jerarquia2]","[IF].[departamento_jerarquia2].&amp;["&amp;AY$5&amp;"]","[IF].[grupo_analisis]","[IF].[grupo_analisis].&amp;["&amp;$B17&amp;"]","[IF].[mes]","[IF].[mes].&amp;["&amp;AY$8&amp;"]","[IF].[ano]","[IF].[ano].&amp;["&amp;AY$7&amp;"]","[IF].[informacion]","[IF].[informacion].&amp;["&amp;AY$9&amp;"]"),0)</f>
        <v>0</v>
      </c>
      <c r="AZ17" s="9">
        <f>IFERROR(GETPIVOTDATA("[Measures].[Suma de valor]",base!$A$3,"[IF].[departamento_jerarquia2]","[IF].[departamento_jerarquia2].&amp;["&amp;AZ$5&amp;"]","[IF].[grupo_analisis]","[IF].[grupo_analisis].&amp;["&amp;$B17&amp;"]","[IF].[mes]","[IF].[mes].&amp;["&amp;AZ$8&amp;"]","[IF].[ano]","[IF].[ano].&amp;["&amp;AZ$7&amp;"]","[IF].[informacion]","[IF].[informacion].&amp;["&amp;AZ$9&amp;"]"),0)</f>
        <v>0</v>
      </c>
      <c r="BA17" s="9">
        <f t="shared" si="42"/>
        <v>0</v>
      </c>
      <c r="BB17" s="9">
        <f>(IFERROR(GETPIVOTDATA("[Measures].[Suma de valor]",base!$A$3,"[IF].[departamento_jerarquia2]","[IF].[departamento_jerarquia2].&amp;["&amp;BB$5&amp;"]","[IF].[grupo_analisis]","[IF].[grupo_analisis].&amp;["&amp;$B17&amp;"]","[IF].[mes]","[IF].[mes].&amp;["&amp;BB$8&amp;"]","[IF].[ano]","[IF].[ano].&amp;["&amp;BB$7&amp;"]","[IF].[informacion]","[IF].[informacion].&amp;["&amp;BB$9&amp;"]"),0)*IF($B$2="Real",1,IF(BB$8&lt;6,6/BB$8,1)))*(1+BC17)</f>
        <v>0</v>
      </c>
      <c r="BC17" s="116">
        <v>0</v>
      </c>
      <c r="BD17" s="12">
        <f t="shared" si="52"/>
        <v>0</v>
      </c>
      <c r="BE17" s="116">
        <v>0</v>
      </c>
      <c r="BF17" s="12">
        <f t="shared" si="43"/>
        <v>0</v>
      </c>
      <c r="BG17" s="116">
        <v>0</v>
      </c>
      <c r="BH17" s="119">
        <f t="shared" si="53"/>
        <v>0</v>
      </c>
      <c r="BI17" s="116">
        <v>0</v>
      </c>
      <c r="BJ17" s="11"/>
      <c r="BK17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17&amp;"]"),0)</f>
        <v>0</v>
      </c>
      <c r="BL17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17&amp;"]"),0)</f>
        <v>0</v>
      </c>
      <c r="BM17" s="9">
        <f t="shared" si="44"/>
        <v>0</v>
      </c>
      <c r="BN17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17&amp;"]"),0)*IF($B$2="Real",1,IF(BN$8&lt;6,6/BN$8,1)))*(1+BO17)</f>
        <v>0</v>
      </c>
      <c r="BO17" s="116">
        <v>0</v>
      </c>
      <c r="BP17" s="12">
        <f t="shared" si="54"/>
        <v>0</v>
      </c>
      <c r="BQ17" s="116">
        <v>0</v>
      </c>
      <c r="BR17" s="12">
        <f t="shared" si="45"/>
        <v>0</v>
      </c>
      <c r="BS17" s="116">
        <v>0</v>
      </c>
      <c r="BT17" s="119">
        <f t="shared" si="55"/>
        <v>0</v>
      </c>
      <c r="BU17" s="116">
        <v>0</v>
      </c>
      <c r="BV17" s="11"/>
      <c r="BW17" s="9">
        <f>IFERROR(GETPIVOTDATA("[Measures].[Suma de valor]",base!$A$3,"[IF].[departamento_jerarquia2]","[IF].[departamento_jerarquia2].&amp;["&amp;BW$5&amp;"]","[IF].[grupo_analisis]","[IF].[grupo_analisis].&amp;["&amp;$B17&amp;"]","[IF].[mes]","[IF].[mes].&amp;["&amp;BW$8&amp;"]","[IF].[ano]","[IF].[ano].&amp;["&amp;BW$7&amp;"]","[IF].[informacion]","[IF].[informacion].&amp;["&amp;BW$9&amp;"]"),0)</f>
        <v>100</v>
      </c>
      <c r="BX17" s="9">
        <f>IFERROR(GETPIVOTDATA("[Measures].[Suma de valor]",base!$A$3,"[IF].[departamento_jerarquia2]","[IF].[departamento_jerarquia2].&amp;["&amp;BX$5&amp;"]","[IF].[grupo_analisis]","[IF].[grupo_analisis].&amp;["&amp;$B17&amp;"]","[IF].[mes]","[IF].[mes].&amp;["&amp;BX$8&amp;"]","[IF].[ano]","[IF].[ano].&amp;["&amp;BX$7&amp;"]","[IF].[informacion]","[IF].[informacion].&amp;["&amp;BX$9&amp;"]"),0)</f>
        <v>40</v>
      </c>
      <c r="BY17" s="9">
        <f t="shared" si="46"/>
        <v>60</v>
      </c>
      <c r="BZ17" s="9">
        <f>(IFERROR(GETPIVOTDATA("[Measures].[Suma de valor]",base!$A$3,"[IF].[departamento_jerarquia2]","[IF].[departamento_jerarquia2].&amp;["&amp;BZ$5&amp;"]","[IF].[grupo_analisis]","[IF].[grupo_analisis].&amp;["&amp;$B17&amp;"]","[IF].[mes]","[IF].[mes].&amp;["&amp;BZ$8&amp;"]","[IF].[ano]","[IF].[ano].&amp;["&amp;BZ$7&amp;"]","[IF].[informacion]","[IF].[informacion].&amp;["&amp;BZ$9&amp;"]"),0)*IF($B$2="Real",1,IF(BZ$8&lt;6,6/BZ$8,1)))*(1+CA17)</f>
        <v>0</v>
      </c>
      <c r="CA17" s="116">
        <v>0</v>
      </c>
      <c r="CB17" s="12">
        <f t="shared" si="56"/>
        <v>90.954000000000008</v>
      </c>
      <c r="CC17" s="116">
        <v>0.51590000000000003</v>
      </c>
      <c r="CD17" s="12">
        <f t="shared" si="47"/>
        <v>90.954000000000008</v>
      </c>
      <c r="CE17" s="116">
        <v>0</v>
      </c>
      <c r="CF17" s="119">
        <f>CD17*(1+CG17)</f>
        <v>90.954000000000008</v>
      </c>
      <c r="CG17" s="116">
        <v>0</v>
      </c>
      <c r="CH17" s="11"/>
      <c r="CI17" s="9"/>
      <c r="CJ17" s="9"/>
      <c r="CK17" s="9"/>
      <c r="CL17" s="9"/>
      <c r="CM17" s="116"/>
      <c r="CN17" s="12"/>
      <c r="CO17" s="116"/>
      <c r="CP17" s="12"/>
      <c r="CQ17" s="116"/>
      <c r="CR17" s="119"/>
      <c r="CS17" s="116"/>
      <c r="CT17" s="11"/>
      <c r="CU17" s="9"/>
      <c r="CV17" s="9"/>
      <c r="CW17" s="9"/>
      <c r="CX17" s="9"/>
      <c r="CY17" s="116"/>
      <c r="CZ17" s="12"/>
      <c r="DA17" s="116"/>
      <c r="DB17" s="12"/>
      <c r="DC17" s="116"/>
      <c r="DD17" s="119"/>
      <c r="DE17" s="116"/>
      <c r="DF17" s="11"/>
      <c r="DG17" s="9">
        <f t="shared" si="58"/>
        <v>150</v>
      </c>
      <c r="DH17" s="12">
        <f t="shared" si="48"/>
        <v>90.954000000000008</v>
      </c>
      <c r="DI17" s="119">
        <f t="shared" si="59"/>
        <v>117.38900000000001</v>
      </c>
      <c r="DK17" s="9">
        <f t="shared" si="49"/>
        <v>150</v>
      </c>
      <c r="DL17" s="12">
        <f t="shared" si="49"/>
        <v>90.954000000000008</v>
      </c>
      <c r="DM17" s="119">
        <f t="shared" si="49"/>
        <v>117.38900000000001</v>
      </c>
    </row>
    <row r="18" spans="1:117" x14ac:dyDescent="0.25">
      <c r="B18" t="s">
        <v>165</v>
      </c>
      <c r="C18" s="9">
        <f>IFERROR(GETPIVOTDATA("[Measures].[Suma de valor]",base!$U$3,"[IF].[departamento_jerarquia2]","[IF].[departamento_jerarquia2].&amp;["&amp;C$5&amp;"]","[IF].[mes]","[IF].[mes].&amp;["&amp;C$8&amp;"]","[IF].[ano]","[IF].[ano].&amp;["&amp;C$7&amp;"]","[IF].[informacion]","[IF].[informacion].&amp;["&amp;C$9&amp;"]","[IF].[nombre_cuenta]","[IF].[nombre_cuenta].&amp;["&amp;$B18&amp;"]"),0)</f>
        <v>0</v>
      </c>
      <c r="D18" s="9">
        <f>IFERROR(GETPIVOTDATA("[Measures].[Suma de valor]",base!$U$3,"[IF].[departamento_jerarquia2]","[IF].[departamento_jerarquia2].&amp;["&amp;D$5&amp;"]","[IF].[mes]","[IF].[mes].&amp;["&amp;D$8&amp;"]","[IF].[ano]","[IF].[ano].&amp;["&amp;D$7&amp;"]","[IF].[informacion]","[IF].[informacion].&amp;["&amp;D$9&amp;"]","[IF].[nombre_cuenta]","[IF].[nombre_cuenta].&amp;["&amp;$B18&amp;"]"),0)</f>
        <v>0</v>
      </c>
      <c r="E18" s="9">
        <f t="shared" si="35"/>
        <v>0</v>
      </c>
      <c r="F18" s="9">
        <f>(IFERROR(GETPIVOTDATA("[Measures].[Suma de valor]",base!$A$3,"[IF].[departamento_jerarquia2]","[IF].[departamento_jerarquia2].&amp;["&amp;F$5&amp;"]","[IF].[grupo_analisis]","[IF].[grupo_analisis].&amp;["&amp;$B18&amp;"]","[IF].[mes]","[IF].[mes].&amp;["&amp;F$8&amp;"]","[IF].[ano]","[IF].[ano].&amp;["&amp;F$7&amp;"]","[IF].[informacion]","[IF].[informacion].&amp;["&amp;F$9&amp;"]"),0)*IF($B$2="Real",1,IF(F$8&lt;6,6/F$8,1)))*(1+G18)</f>
        <v>0</v>
      </c>
      <c r="G18" s="116">
        <v>0</v>
      </c>
      <c r="H18" s="12">
        <f t="shared" si="50"/>
        <v>0</v>
      </c>
      <c r="I18" s="116">
        <v>0</v>
      </c>
      <c r="J18" s="12">
        <f t="shared" si="36"/>
        <v>0</v>
      </c>
      <c r="K18" s="116">
        <v>0</v>
      </c>
      <c r="L18" s="119">
        <f t="shared" si="51"/>
        <v>0</v>
      </c>
      <c r="M18" s="116">
        <v>0</v>
      </c>
      <c r="N18" s="11"/>
      <c r="O18" s="9">
        <f>IFERROR(GETPIVOTDATA("[Measures].[Suma de valor]",base!$U$3,"[IF].[departamento_jerarquia2]","[IF].[departamento_jerarquia2].&amp;["&amp;O$5&amp;"]","[IF].[mes]","[IF].[mes].&amp;["&amp;O$8&amp;"]","[IF].[ano]","[IF].[ano].&amp;["&amp;O$7&amp;"]","[IF].[informacion]","[IF].[informacion].&amp;["&amp;O$9&amp;"]","[IF].[nombre_cuenta]","[IF].[nombre_cuenta].&amp;["&amp;$B18&amp;"]"),0)-AA18</f>
        <v>0</v>
      </c>
      <c r="P18" s="9">
        <f>IFERROR(GETPIVOTDATA("[Measures].[Suma de valor]",base!$U$3,"[IF].[departamento_jerarquia2]","[IF].[departamento_jerarquia2].&amp;["&amp;P$5&amp;"]","[IF].[mes]","[IF].[mes].&amp;["&amp;P$8&amp;"]","[IF].[ano]","[IF].[ano].&amp;["&amp;P$7&amp;"]","[IF].[informacion]","[IF].[informacion].&amp;["&amp;P$9&amp;"]","[IF].[nombre_cuenta]","[IF].[nombre_cuenta].&amp;["&amp;$B18&amp;"]"),0)-AB18</f>
        <v>0</v>
      </c>
      <c r="Q18" s="9">
        <f t="shared" si="37"/>
        <v>0</v>
      </c>
      <c r="R18" s="9">
        <f>(IFERROR(GETPIVOTDATA("[Measures].[Suma de valor]",base!$A$3,"[IF].[departamento_jerarquia2]","[IF].[departamento_jerarquia2].&amp;["&amp;R$5&amp;"]","[IF].[grupo_analisis]","[IF].[grupo_analisis].&amp;["&amp;$B18&amp;"]","[IF].[mes]","[IF].[mes].&amp;["&amp;R$8&amp;"]","[IF].[ano]","[IF].[ano].&amp;["&amp;R$7&amp;"]","[IF].[informacion]","[IF].[informacion].&amp;["&amp;R$9&amp;"]"),0)*IF($B$2="Real",1,IF(R$8&lt;6,6/R$8,1))-AD18)*(1+S18)</f>
        <v>0</v>
      </c>
      <c r="S18" s="116">
        <v>0</v>
      </c>
      <c r="T18" s="12">
        <f t="shared" si="60"/>
        <v>0</v>
      </c>
      <c r="U18" s="116">
        <v>0</v>
      </c>
      <c r="V18" s="12">
        <f t="shared" si="38"/>
        <v>0</v>
      </c>
      <c r="W18" s="116">
        <v>0</v>
      </c>
      <c r="X18" s="119">
        <f t="shared" si="63"/>
        <v>0</v>
      </c>
      <c r="Y18" s="116">
        <v>0</v>
      </c>
      <c r="Z18" s="11"/>
      <c r="AA18" s="9">
        <f>IFERROR(GETPIVOTDATA("[Measures].[Suma de valor]",base!$AN$5,"[IF].[grupo_analisis]","[IF].[grupo_analisis].&amp;["&amp;$B18&amp;"]","[IF].[mes]","[IF].[mes].&amp;["&amp;AA$8&amp;"]","[IF].[ano]","[IF].[ano].&amp;["&amp;AA$7&amp;"]","[IF].[informacion]","[IF].[informacion].&amp;["&amp;AA$9&amp;"]"),0)</f>
        <v>0</v>
      </c>
      <c r="AB18" s="9">
        <f>IFERROR(GETPIVOTDATA("[Measures].[Suma de valor]",base!$AN$5,"[IF].[grupo_analisis]","[IF].[grupo_analisis].&amp;["&amp;$B18&amp;"]","[IF].[mes]","[IF].[mes].&amp;["&amp;AB$8&amp;"]","[IF].[ano]","[IF].[ano].&amp;["&amp;AB$7&amp;"]","[IF].[informacion]","[IF].[informacion].&amp;["&amp;AB$9&amp;"]"),0)</f>
        <v>0</v>
      </c>
      <c r="AC18" s="9">
        <f t="shared" si="40"/>
        <v>0</v>
      </c>
      <c r="AD18" s="9">
        <f>(IFERROR(GETPIVOTDATA("[Measures].[Suma de valor]",base!$AN$5,"[IF].[grupo_analisis]","[IF].[grupo_analisis].&amp;["&amp;$B18&amp;"]","[IF].[mes]","[IF].[mes].&amp;["&amp;AD$8&amp;"]","[IF].[ano]","[IF].[ano].&amp;["&amp;AD$7&amp;"]","[IF].[informacion]","[IF].[informacion].&amp;["&amp;AD$9&amp;"]"),0)*IF($B$2="Real",1,IF(AD$8&lt;6,6/AD$8,1)))*(1+S18)</f>
        <v>0</v>
      </c>
      <c r="AE18" s="116">
        <v>0</v>
      </c>
      <c r="AF18" s="12">
        <f t="shared" si="61"/>
        <v>0</v>
      </c>
      <c r="AG18" s="116">
        <v>0</v>
      </c>
      <c r="AH18" s="12">
        <f t="shared" si="41"/>
        <v>0</v>
      </c>
      <c r="AI18" s="116">
        <v>0</v>
      </c>
      <c r="AJ18" s="119">
        <f t="shared" si="62"/>
        <v>0</v>
      </c>
      <c r="AK18" s="116">
        <v>0</v>
      </c>
      <c r="AL18" s="11"/>
      <c r="AM18" s="9">
        <v>0</v>
      </c>
      <c r="AN18" s="9">
        <v>0</v>
      </c>
      <c r="AO18" s="9">
        <v>0</v>
      </c>
      <c r="AP18" s="9">
        <v>0</v>
      </c>
      <c r="AQ18" s="116">
        <v>0</v>
      </c>
      <c r="AR18" s="12">
        <v>0</v>
      </c>
      <c r="AS18" s="116">
        <v>0</v>
      </c>
      <c r="AT18" s="12">
        <v>0</v>
      </c>
      <c r="AU18" s="116">
        <v>0</v>
      </c>
      <c r="AV18" s="119">
        <v>57.3</v>
      </c>
      <c r="AW18" s="116">
        <v>0</v>
      </c>
      <c r="AX18" s="11"/>
      <c r="AY18" s="9">
        <f>IFERROR(GETPIVOTDATA("[Measures].[Suma de valor]",base!$U$3,"[IF].[departamento_jerarquia2]","[IF].[departamento_jerarquia2].&amp;["&amp;AY$5&amp;"]","[IF].[mes]","[IF].[mes].&amp;["&amp;AY$8&amp;"]","[IF].[ano]","[IF].[ano].&amp;["&amp;AY$7&amp;"]","[IF].[informacion]","[IF].[informacion].&amp;["&amp;AY$9&amp;"]","[IF].[nombre_cuenta]","[IF].[nombre_cuenta].&amp;["&amp;$B18&amp;"]"),0)</f>
        <v>0</v>
      </c>
      <c r="AZ18" s="9">
        <f>IFERROR(GETPIVOTDATA("[Measures].[Suma de valor]",base!$U$3,"[IF].[departamento_jerarquia2]","[IF].[departamento_jerarquia2].&amp;["&amp;AZ$5&amp;"]","[IF].[mes]","[IF].[mes].&amp;["&amp;AZ$8&amp;"]","[IF].[ano]","[IF].[ano].&amp;["&amp;AZ$7&amp;"]","[IF].[informacion]","[IF].[informacion].&amp;["&amp;AZ$9&amp;"]","[IF].[nombre_cuenta]","[IF].[nombre_cuenta].&amp;["&amp;$B18&amp;"]"),0)</f>
        <v>0</v>
      </c>
      <c r="BA18" s="9">
        <f t="shared" si="42"/>
        <v>0</v>
      </c>
      <c r="BB18" s="9">
        <f>(IFERROR(GETPIVOTDATA("[Measures].[Suma de valor]",base!$A$3,"[IF].[departamento_jerarquia2]","[IF].[departamento_jerarquia2].&amp;["&amp;BB$5&amp;"]","[IF].[grupo_analisis]","[IF].[grupo_analisis].&amp;["&amp;$B18&amp;"]","[IF].[mes]","[IF].[mes].&amp;["&amp;BB$8&amp;"]","[IF].[ano]","[IF].[ano].&amp;["&amp;BB$7&amp;"]","[IF].[informacion]","[IF].[informacion].&amp;["&amp;BB$9&amp;"]"),0)*IF($B$2="Real",1,IF(BB$8&lt;6,6/BB$8,1)))*(1+BC18)</f>
        <v>0</v>
      </c>
      <c r="BC18" s="116">
        <v>0</v>
      </c>
      <c r="BD18" s="12">
        <f t="shared" si="52"/>
        <v>0</v>
      </c>
      <c r="BE18" s="116">
        <v>0</v>
      </c>
      <c r="BF18" s="12">
        <f t="shared" si="43"/>
        <v>0</v>
      </c>
      <c r="BG18" s="116">
        <v>0</v>
      </c>
      <c r="BH18" s="119">
        <f t="shared" si="53"/>
        <v>0</v>
      </c>
      <c r="BI18" s="116">
        <v>0</v>
      </c>
      <c r="BJ18" s="11"/>
      <c r="BK18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18&amp;"]"),0)</f>
        <v>0</v>
      </c>
      <c r="BL18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18&amp;"]"),0)</f>
        <v>0</v>
      </c>
      <c r="BM18" s="9">
        <f t="shared" si="44"/>
        <v>0</v>
      </c>
      <c r="BN18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18&amp;"]"),0)*IF($B$2="Real",1,IF(BN$8&lt;6,6/BN$8,1)))*(1+BO18)</f>
        <v>0</v>
      </c>
      <c r="BO18" s="116">
        <v>0</v>
      </c>
      <c r="BP18" s="12">
        <f t="shared" si="54"/>
        <v>0</v>
      </c>
      <c r="BQ18" s="116">
        <v>0</v>
      </c>
      <c r="BR18" s="12">
        <f t="shared" si="45"/>
        <v>0</v>
      </c>
      <c r="BS18" s="116">
        <v>0</v>
      </c>
      <c r="BT18" s="119">
        <f t="shared" si="55"/>
        <v>0</v>
      </c>
      <c r="BU18" s="116">
        <v>0</v>
      </c>
      <c r="BV18" s="11"/>
      <c r="BW18" s="9">
        <f>IFERROR(GETPIVOTDATA("[Measures].[Suma de valor]",base!$U$3,"[IF].[departamento_jerarquia2]","[IF].[departamento_jerarquia2].&amp;["&amp;BW$5&amp;"]","[IF].[mes]","[IF].[mes].&amp;["&amp;BW$8&amp;"]","[IF].[ano]","[IF].[ano].&amp;["&amp;BW$7&amp;"]","[IF].[informacion]","[IF].[informacion].&amp;["&amp;BW$9&amp;"]","[IF].[nombre_cuenta]","[IF].[nombre_cuenta].&amp;["&amp;$B18&amp;"]"),0)</f>
        <v>0</v>
      </c>
      <c r="BX18" s="9">
        <f>IFERROR(GETPIVOTDATA("[Measures].[Suma de valor]",base!$U$3,"[IF].[departamento_jerarquia2]","[IF].[departamento_jerarquia2].&amp;["&amp;BX$5&amp;"]","[IF].[mes]","[IF].[mes].&amp;["&amp;BX$8&amp;"]","[IF].[ano]","[IF].[ano].&amp;["&amp;BX$7&amp;"]","[IF].[informacion]","[IF].[informacion].&amp;["&amp;BX$9&amp;"]","[IF].[nombre_cuenta]","[IF].[nombre_cuenta].&amp;["&amp;$B18&amp;"]"),0)</f>
        <v>0</v>
      </c>
      <c r="BY18" s="9">
        <f t="shared" si="46"/>
        <v>0</v>
      </c>
      <c r="BZ18" s="9">
        <f>(IFERROR(GETPIVOTDATA("[Measures].[Suma de valor]",base!$A$3,"[IF].[departamento_jerarquia2]","[IF].[departamento_jerarquia2].&amp;["&amp;BZ$5&amp;"]","[IF].[grupo_analisis]","[IF].[grupo_analisis].&amp;["&amp;$B18&amp;"]","[IF].[mes]","[IF].[mes].&amp;["&amp;BZ$8&amp;"]","[IF].[ano]","[IF].[ano].&amp;["&amp;BZ$7&amp;"]","[IF].[informacion]","[IF].[informacion].&amp;["&amp;BZ$9&amp;"]"),0)*IF($B$2="Real",1,IF(BZ$8&lt;6,6/BZ$8,1)))*(1+CA18)</f>
        <v>0</v>
      </c>
      <c r="CA18" s="116">
        <v>0</v>
      </c>
      <c r="CB18" s="12">
        <f t="shared" si="56"/>
        <v>0</v>
      </c>
      <c r="CC18" s="116">
        <v>0</v>
      </c>
      <c r="CD18" s="12">
        <f t="shared" si="47"/>
        <v>0</v>
      </c>
      <c r="CE18" s="116">
        <v>0</v>
      </c>
      <c r="CF18" s="119">
        <f t="shared" si="57"/>
        <v>0</v>
      </c>
      <c r="CG18" s="116">
        <v>0</v>
      </c>
      <c r="CH18" s="11"/>
      <c r="CI18" s="9"/>
      <c r="CJ18" s="9"/>
      <c r="CK18" s="9"/>
      <c r="CL18" s="9"/>
      <c r="CM18" s="116"/>
      <c r="CN18" s="12"/>
      <c r="CO18" s="116"/>
      <c r="CP18" s="12"/>
      <c r="CQ18" s="116"/>
      <c r="CR18" s="119"/>
      <c r="CS18" s="116"/>
      <c r="CT18" s="11"/>
      <c r="CU18" s="9"/>
      <c r="CV18" s="9"/>
      <c r="CW18" s="9"/>
      <c r="CX18" s="9"/>
      <c r="CY18" s="116"/>
      <c r="CZ18" s="12"/>
      <c r="DA18" s="116"/>
      <c r="DB18" s="12"/>
      <c r="DC18" s="116"/>
      <c r="DD18" s="119"/>
      <c r="DE18" s="116"/>
      <c r="DF18" s="11"/>
      <c r="DG18" s="9">
        <f t="shared" si="58"/>
        <v>0</v>
      </c>
      <c r="DH18" s="12">
        <f t="shared" si="48"/>
        <v>0</v>
      </c>
      <c r="DI18" s="119">
        <f t="shared" si="59"/>
        <v>57.3</v>
      </c>
      <c r="DK18" s="9">
        <f t="shared" si="49"/>
        <v>0</v>
      </c>
      <c r="DL18" s="12">
        <f t="shared" si="49"/>
        <v>0</v>
      </c>
      <c r="DM18" s="119">
        <f t="shared" si="49"/>
        <v>57.3</v>
      </c>
    </row>
    <row r="19" spans="1:117" x14ac:dyDescent="0.25">
      <c r="B19" t="s">
        <v>101</v>
      </c>
      <c r="C19" s="9">
        <f>IFERROR(GETPIVOTDATA("[Measures].[Suma de valor]",base!$A$3,"[IF].[departamento_jerarquia2]","[IF].[departamento_jerarquia2].&amp;["&amp;C$5&amp;"]","[IF].[grupo_analisis]","[IF].[grupo_analisis].&amp;["&amp;$B19&amp;"]","[IF].[mes]","[IF].[mes].&amp;["&amp;C$8&amp;"]","[IF].[ano]","[IF].[ano].&amp;["&amp;C$7&amp;"]","[IF].[informacion]","[IF].[informacion].&amp;["&amp;C$9&amp;"]"),0)</f>
        <v>0</v>
      </c>
      <c r="D19" s="9">
        <f>IFERROR(GETPIVOTDATA("[Measures].[Suma de valor]",base!$A$3,"[IF].[departamento_jerarquia2]","[IF].[departamento_jerarquia2].&amp;["&amp;D$5&amp;"]","[IF].[grupo_analisis]","[IF].[grupo_analisis].&amp;["&amp;$B19&amp;"]","[IF].[mes]","[IF].[mes].&amp;["&amp;D$8&amp;"]","[IF].[ano]","[IF].[ano].&amp;["&amp;D$7&amp;"]","[IF].[informacion]","[IF].[informacion].&amp;["&amp;D$9&amp;"]"),0)</f>
        <v>0</v>
      </c>
      <c r="E19" s="9">
        <f t="shared" si="35"/>
        <v>0</v>
      </c>
      <c r="F19" s="9">
        <f>(IFERROR(GETPIVOTDATA("[Measures].[Suma de valor]",base!$A$3,"[IF].[departamento_jerarquia2]","[IF].[departamento_jerarquia2].&amp;["&amp;F$5&amp;"]","[IF].[grupo_analisis]","[IF].[grupo_analisis].&amp;["&amp;$B19&amp;"]","[IF].[mes]","[IF].[mes].&amp;["&amp;F$8&amp;"]","[IF].[ano]","[IF].[ano].&amp;["&amp;F$7&amp;"]","[IF].[informacion]","[IF].[informacion].&amp;["&amp;F$9&amp;"]"),0)*IF($B$2="Real",1,IF(F$8&lt;6,6/F$8,1)))*(1+G19)</f>
        <v>0</v>
      </c>
      <c r="G19" s="116">
        <v>0</v>
      </c>
      <c r="H19" s="12">
        <f t="shared" si="50"/>
        <v>0</v>
      </c>
      <c r="I19" s="116">
        <v>0</v>
      </c>
      <c r="J19" s="12">
        <f t="shared" si="36"/>
        <v>0</v>
      </c>
      <c r="K19" s="116">
        <v>0</v>
      </c>
      <c r="L19" s="119">
        <f t="shared" si="51"/>
        <v>0</v>
      </c>
      <c r="M19" s="116">
        <v>0</v>
      </c>
      <c r="N19" s="11"/>
      <c r="O19" s="9">
        <f>IFERROR(GETPIVOTDATA("[Measures].[Suma de valor]",base!$A$3,"[IF].[departamento_jerarquia2]","[IF].[departamento_jerarquia2].&amp;["&amp;O$5&amp;"]","[IF].[grupo_analisis]","[IF].[grupo_analisis].&amp;["&amp;$B19&amp;"]","[IF].[mes]","[IF].[mes].&amp;["&amp;O$8&amp;"]","[IF].[ano]","[IF].[ano].&amp;["&amp;O$7&amp;"]","[IF].[informacion]","[IF].[informacion].&amp;["&amp;O$9&amp;"]"),0)-AA19</f>
        <v>0</v>
      </c>
      <c r="P19" s="9">
        <f>IFERROR(GETPIVOTDATA("[Measures].[Suma de valor]",base!$A$3,"[IF].[departamento_jerarquia2]","[IF].[departamento_jerarquia2].&amp;["&amp;P$5&amp;"]","[IF].[grupo_analisis]","[IF].[grupo_analisis].&amp;["&amp;$B19&amp;"]","[IF].[mes]","[IF].[mes].&amp;["&amp;P$8&amp;"]","[IF].[ano]","[IF].[ano].&amp;["&amp;P$7&amp;"]","[IF].[informacion]","[IF].[informacion].&amp;["&amp;P$9&amp;"]"),0)-AB19</f>
        <v>0</v>
      </c>
      <c r="Q19" s="9">
        <f t="shared" si="37"/>
        <v>0</v>
      </c>
      <c r="R19" s="9">
        <f>(IFERROR(GETPIVOTDATA("[Measures].[Suma de valor]",base!$A$3,"[IF].[departamento_jerarquia2]","[IF].[departamento_jerarquia2].&amp;["&amp;R$5&amp;"]","[IF].[grupo_analisis]","[IF].[grupo_analisis].&amp;["&amp;$B19&amp;"]","[IF].[mes]","[IF].[mes].&amp;["&amp;R$8&amp;"]","[IF].[ano]","[IF].[ano].&amp;["&amp;R$7&amp;"]","[IF].[informacion]","[IF].[informacion].&amp;["&amp;R$9&amp;"]"),0)*IF($B$2="Real",1,IF(R$8&lt;6,6/R$8,1))-AD19)*(1+S19)</f>
        <v>0</v>
      </c>
      <c r="S19" s="116">
        <v>0</v>
      </c>
      <c r="T19" s="12">
        <f t="shared" si="60"/>
        <v>0</v>
      </c>
      <c r="U19" s="116">
        <v>0</v>
      </c>
      <c r="V19" s="12">
        <f t="shared" si="38"/>
        <v>0</v>
      </c>
      <c r="W19" s="116">
        <v>0</v>
      </c>
      <c r="X19" s="119">
        <f t="shared" si="63"/>
        <v>0</v>
      </c>
      <c r="Y19" s="116">
        <v>0</v>
      </c>
      <c r="Z19" s="11"/>
      <c r="AA19" s="9">
        <f>IFERROR(GETPIVOTDATA("[Measures].[Suma de valor]",base!$AN$5,"[IF].[grupo_analisis]","[IF].[grupo_analisis].&amp;["&amp;$B19&amp;"]","[IF].[mes]","[IF].[mes].&amp;["&amp;AA$8&amp;"]","[IF].[ano]","[IF].[ano].&amp;["&amp;AA$7&amp;"]","[IF].[informacion]","[IF].[informacion].&amp;["&amp;AA$9&amp;"]"),0)</f>
        <v>0</v>
      </c>
      <c r="AB19" s="9">
        <f>IFERROR(GETPIVOTDATA("[Measures].[Suma de valor]",base!$AN$5,"[IF].[grupo_analisis]","[IF].[grupo_analisis].&amp;["&amp;$B19&amp;"]","[IF].[mes]","[IF].[mes].&amp;["&amp;AB$8&amp;"]","[IF].[ano]","[IF].[ano].&amp;["&amp;AB$7&amp;"]","[IF].[informacion]","[IF].[informacion].&amp;["&amp;AB$9&amp;"]"),0)</f>
        <v>0</v>
      </c>
      <c r="AC19" s="9">
        <f t="shared" si="40"/>
        <v>0</v>
      </c>
      <c r="AD19" s="9">
        <f>(IFERROR(GETPIVOTDATA("[Measures].[Suma de valor]",base!$AN$5,"[IF].[grupo_analisis]","[IF].[grupo_analisis].&amp;["&amp;$B19&amp;"]","[IF].[mes]","[IF].[mes].&amp;["&amp;AD$8&amp;"]","[IF].[ano]","[IF].[ano].&amp;["&amp;AD$7&amp;"]","[IF].[informacion]","[IF].[informacion].&amp;["&amp;AD$9&amp;"]"),0)*IF($B$2="Real",1,IF(AD$8&lt;6,6/AD$8,1)))*(1+S19)</f>
        <v>0</v>
      </c>
      <c r="AE19" s="116">
        <v>0</v>
      </c>
      <c r="AF19" s="12">
        <f t="shared" si="61"/>
        <v>0</v>
      </c>
      <c r="AG19" s="116">
        <v>0</v>
      </c>
      <c r="AH19" s="12">
        <f t="shared" si="41"/>
        <v>0</v>
      </c>
      <c r="AI19" s="116">
        <v>0</v>
      </c>
      <c r="AJ19" s="119">
        <f t="shared" si="62"/>
        <v>0</v>
      </c>
      <c r="AK19" s="116">
        <v>0</v>
      </c>
      <c r="AL19" s="11"/>
      <c r="AM19" s="9">
        <v>0</v>
      </c>
      <c r="AN19" s="9">
        <v>0</v>
      </c>
      <c r="AO19" s="9">
        <v>0</v>
      </c>
      <c r="AP19" s="9">
        <v>0</v>
      </c>
      <c r="AQ19" s="116">
        <v>0</v>
      </c>
      <c r="AR19" s="12">
        <v>0</v>
      </c>
      <c r="AS19" s="116">
        <v>0</v>
      </c>
      <c r="AT19" s="12">
        <v>0</v>
      </c>
      <c r="AU19" s="116">
        <v>0</v>
      </c>
      <c r="AV19" s="119">
        <v>0</v>
      </c>
      <c r="AW19" s="116">
        <v>0</v>
      </c>
      <c r="AX19" s="11"/>
      <c r="AY19" s="9">
        <f>IFERROR(GETPIVOTDATA("[Measures].[Suma de valor]",base!$A$3,"[IF].[departamento_jerarquia2]","[IF].[departamento_jerarquia2].&amp;["&amp;AY$5&amp;"]","[IF].[grupo_analisis]","[IF].[grupo_analisis].&amp;["&amp;$B19&amp;"]","[IF].[mes]","[IF].[mes].&amp;["&amp;AY$8&amp;"]","[IF].[ano]","[IF].[ano].&amp;["&amp;AY$7&amp;"]","[IF].[informacion]","[IF].[informacion].&amp;["&amp;AY$9&amp;"]"),0)</f>
        <v>0</v>
      </c>
      <c r="AZ19" s="9">
        <f>IFERROR(GETPIVOTDATA("[Measures].[Suma de valor]",base!$A$3,"[IF].[departamento_jerarquia2]","[IF].[departamento_jerarquia2].&amp;["&amp;AZ$5&amp;"]","[IF].[grupo_analisis]","[IF].[grupo_analisis].&amp;["&amp;$B19&amp;"]","[IF].[mes]","[IF].[mes].&amp;["&amp;AZ$8&amp;"]","[IF].[ano]","[IF].[ano].&amp;["&amp;AZ$7&amp;"]","[IF].[informacion]","[IF].[informacion].&amp;["&amp;AZ$9&amp;"]"),0)</f>
        <v>0</v>
      </c>
      <c r="BA19" s="9">
        <f t="shared" si="42"/>
        <v>0</v>
      </c>
      <c r="BB19" s="9">
        <f>(IFERROR(GETPIVOTDATA("[Measures].[Suma de valor]",base!$A$3,"[IF].[departamento_jerarquia2]","[IF].[departamento_jerarquia2].&amp;["&amp;BB$5&amp;"]","[IF].[grupo_analisis]","[IF].[grupo_analisis].&amp;["&amp;$B19&amp;"]","[IF].[mes]","[IF].[mes].&amp;["&amp;BB$8&amp;"]","[IF].[ano]","[IF].[ano].&amp;["&amp;BB$7&amp;"]","[IF].[informacion]","[IF].[informacion].&amp;["&amp;BB$9&amp;"]"),0)*IF($B$2="Real",1,IF(BB$8&lt;6,6/BB$8,1)))*(1+BC19)</f>
        <v>0</v>
      </c>
      <c r="BC19" s="116">
        <v>0</v>
      </c>
      <c r="BD19" s="12">
        <f t="shared" si="52"/>
        <v>0</v>
      </c>
      <c r="BE19" s="116">
        <v>0</v>
      </c>
      <c r="BF19" s="12">
        <f t="shared" si="43"/>
        <v>0</v>
      </c>
      <c r="BG19" s="116">
        <v>0</v>
      </c>
      <c r="BH19" s="119">
        <f t="shared" si="53"/>
        <v>0</v>
      </c>
      <c r="BI19" s="116">
        <v>0</v>
      </c>
      <c r="BJ19" s="11"/>
      <c r="BK19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19&amp;"]"),0)</f>
        <v>0</v>
      </c>
      <c r="BL19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19&amp;"]"),0)</f>
        <v>0</v>
      </c>
      <c r="BM19" s="9">
        <f t="shared" si="44"/>
        <v>0</v>
      </c>
      <c r="BN19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19&amp;"]"),0)*IF($B$2="Real",1,IF(BN$8&lt;6,6/BN$8,1)))*(1+BO19)</f>
        <v>0</v>
      </c>
      <c r="BO19" s="116">
        <v>0</v>
      </c>
      <c r="BP19" s="12">
        <f t="shared" si="54"/>
        <v>0</v>
      </c>
      <c r="BQ19" s="116">
        <v>0</v>
      </c>
      <c r="BR19" s="12">
        <f t="shared" si="45"/>
        <v>0</v>
      </c>
      <c r="BS19" s="116">
        <v>0</v>
      </c>
      <c r="BT19" s="119">
        <f>BR19*(1+BU19)</f>
        <v>0</v>
      </c>
      <c r="BU19" s="116">
        <v>0</v>
      </c>
      <c r="BV19" s="11"/>
      <c r="BW19" s="9">
        <f>IFERROR(GETPIVOTDATA("[Measures].[Suma de valor]",base!$A$3,"[IF].[departamento_jerarquia2]","[IF].[departamento_jerarquia2].&amp;["&amp;BW$5&amp;"]","[IF].[grupo_analisis]","[IF].[grupo_analisis].&amp;["&amp;$B19&amp;"]","[IF].[mes]","[IF].[mes].&amp;["&amp;BW$8&amp;"]","[IF].[ano]","[IF].[ano].&amp;["&amp;BW$7&amp;"]","[IF].[informacion]","[IF].[informacion].&amp;["&amp;BW$9&amp;"]"),0)</f>
        <v>1436.743962</v>
      </c>
      <c r="BX19" s="9">
        <f>IFERROR(GETPIVOTDATA("[Measures].[Suma de valor]",base!$A$3,"[IF].[departamento_jerarquia2]","[IF].[departamento_jerarquia2].&amp;["&amp;BX$5&amp;"]","[IF].[grupo_analisis]","[IF].[grupo_analisis].&amp;["&amp;$B19&amp;"]","[IF].[mes]","[IF].[mes].&amp;["&amp;BX$8&amp;"]","[IF].[ano]","[IF].[ano].&amp;["&amp;BX$7&amp;"]","[IF].[informacion]","[IF].[informacion].&amp;["&amp;BX$9&amp;"]"),0)</f>
        <v>901.94549111959998</v>
      </c>
      <c r="BY19" s="9">
        <f t="shared" si="46"/>
        <v>534.79847088040003</v>
      </c>
      <c r="BZ19" s="9">
        <f>(IFERROR(GETPIVOTDATA("[Measures].[Suma de valor]",base!$A$3,"[IF].[departamento_jerarquia2]","[IF].[departamento_jerarquia2].&amp;["&amp;BZ$5&amp;"]","[IF].[grupo_analisis]","[IF].[grupo_analisis].&amp;["&amp;$B19&amp;"]","[IF].[mes]","[IF].[mes].&amp;["&amp;BZ$8&amp;"]","[IF].[ano]","[IF].[ano].&amp;["&amp;BZ$7&amp;"]","[IF].[informacion]","[IF].[informacion].&amp;["&amp;BZ$9&amp;"]"),0)*IF($B$2="Real",1,IF(BZ$8&lt;6,6/BZ$8,1)))*(1+CA19)</f>
        <v>300.53599987199999</v>
      </c>
      <c r="CA19" s="116">
        <v>0</v>
      </c>
      <c r="CB19" s="12">
        <f t="shared" si="56"/>
        <v>810.70100200759839</v>
      </c>
      <c r="CC19" s="116">
        <v>0.51590000000000003</v>
      </c>
      <c r="CD19" s="12">
        <f t="shared" si="47"/>
        <v>1111.2370018795984</v>
      </c>
      <c r="CE19" s="116">
        <v>0</v>
      </c>
      <c r="CF19" s="119">
        <f>CD19*(1+modelo!T27)</f>
        <v>1255.6978121239461</v>
      </c>
      <c r="CG19" s="116">
        <v>0</v>
      </c>
      <c r="CH19" s="11"/>
      <c r="CI19" s="9"/>
      <c r="CJ19" s="9"/>
      <c r="CK19" s="9"/>
      <c r="CL19" s="9"/>
      <c r="CM19" s="116"/>
      <c r="CN19" s="12"/>
      <c r="CO19" s="116"/>
      <c r="CP19" s="12"/>
      <c r="CQ19" s="116"/>
      <c r="CR19" s="119"/>
      <c r="CS19" s="116"/>
      <c r="CT19" s="11"/>
      <c r="CU19" s="9"/>
      <c r="CV19" s="9"/>
      <c r="CW19" s="9"/>
      <c r="CX19" s="9"/>
      <c r="CY19" s="116"/>
      <c r="CZ19" s="12"/>
      <c r="DA19" s="116"/>
      <c r="DB19" s="12"/>
      <c r="DC19" s="116"/>
      <c r="DD19" s="119"/>
      <c r="DE19" s="116"/>
      <c r="DF19" s="11"/>
      <c r="DG19" s="9">
        <f>C19+O19+AA19+AM19+AY19+BK19+BW19+CI19+CU19</f>
        <v>1436.743962</v>
      </c>
      <c r="DH19" s="12">
        <f>J19+V19+AH19+AT19+BF19+BR19+CD19+CP19+DB19</f>
        <v>1111.2370018795984</v>
      </c>
      <c r="DI19" s="119">
        <f t="shared" si="59"/>
        <v>1255.6978121239461</v>
      </c>
      <c r="DK19" s="9">
        <f t="shared" si="49"/>
        <v>1436.743962</v>
      </c>
      <c r="DL19" s="12">
        <f t="shared" si="49"/>
        <v>1111.2370018795984</v>
      </c>
      <c r="DM19" s="119">
        <f t="shared" si="49"/>
        <v>1255.6978121239461</v>
      </c>
    </row>
    <row r="20" spans="1:117" x14ac:dyDescent="0.25">
      <c r="B20" t="s">
        <v>121</v>
      </c>
      <c r="C20" s="9">
        <f>IFERROR(GETPIVOTDATA("[Measures].[Suma de valor]",base!$A$3,"[IF].[departamento_jerarquia2]","[IF].[departamento_jerarquia2].&amp;["&amp;C$5&amp;"]","[IF].[grupo_analisis]","[IF].[grupo_analisis].&amp;["&amp;$B20&amp;"]","[IF].[mes]","[IF].[mes].&amp;["&amp;C$8&amp;"]","[IF].[ano]","[IF].[ano].&amp;["&amp;C$7&amp;"]","[IF].[informacion]","[IF].[informacion].&amp;["&amp;C$9&amp;"]"),0)</f>
        <v>0</v>
      </c>
      <c r="D20" s="9">
        <f>IFERROR(GETPIVOTDATA("[Measures].[Suma de valor]",base!$A$3,"[IF].[departamento_jerarquia2]","[IF].[departamento_jerarquia2].&amp;["&amp;D$5&amp;"]","[IF].[grupo_analisis]","[IF].[grupo_analisis].&amp;["&amp;$B20&amp;"]","[IF].[mes]","[IF].[mes].&amp;["&amp;D$8&amp;"]","[IF].[ano]","[IF].[ano].&amp;["&amp;D$7&amp;"]","[IF].[informacion]","[IF].[informacion].&amp;["&amp;D$9&amp;"]"),0)</f>
        <v>0</v>
      </c>
      <c r="E20" s="9">
        <f t="shared" si="35"/>
        <v>0</v>
      </c>
      <c r="F20" s="9">
        <f>(IFERROR(GETPIVOTDATA("[Measures].[Suma de valor]",base!$A$3,"[IF].[departamento_jerarquia2]","[IF].[departamento_jerarquia2].&amp;["&amp;F$5&amp;"]","[IF].[grupo_analisis]","[IF].[grupo_analisis].&amp;["&amp;$B20&amp;"]","[IF].[mes]","[IF].[mes].&amp;["&amp;F$8&amp;"]","[IF].[ano]","[IF].[ano].&amp;["&amp;F$7&amp;"]","[IF].[informacion]","[IF].[informacion].&amp;["&amp;F$9&amp;"]"),0)*IF($B$2="Real",1,IF(F$8&lt;6,6/F$8,1)))*(1+G20)</f>
        <v>0</v>
      </c>
      <c r="G20" s="116">
        <v>0</v>
      </c>
      <c r="H20" s="12">
        <f t="shared" si="50"/>
        <v>0</v>
      </c>
      <c r="I20" s="116">
        <v>0</v>
      </c>
      <c r="J20" s="12">
        <f t="shared" si="36"/>
        <v>0</v>
      </c>
      <c r="K20" s="116">
        <v>0</v>
      </c>
      <c r="L20" s="119">
        <f t="shared" si="51"/>
        <v>0</v>
      </c>
      <c r="M20" s="116">
        <v>0</v>
      </c>
      <c r="N20" s="11"/>
      <c r="O20" s="9">
        <f>IFERROR(GETPIVOTDATA("[Measures].[Suma de valor]",base!$A$3,"[IF].[departamento_jerarquia2]","[IF].[departamento_jerarquia2].&amp;["&amp;O$5&amp;"]","[IF].[grupo_analisis]","[IF].[grupo_analisis].&amp;["&amp;$B20&amp;"]","[IF].[mes]","[IF].[mes].&amp;["&amp;O$8&amp;"]","[IF].[ano]","[IF].[ano].&amp;["&amp;O$7&amp;"]","[IF].[informacion]","[IF].[informacion].&amp;["&amp;O$9&amp;"]"),0)-AA20</f>
        <v>0</v>
      </c>
      <c r="P20" s="9">
        <f>IFERROR(GETPIVOTDATA("[Measures].[Suma de valor]",base!$A$3,"[IF].[departamento_jerarquia2]","[IF].[departamento_jerarquia2].&amp;["&amp;P$5&amp;"]","[IF].[grupo_analisis]","[IF].[grupo_analisis].&amp;["&amp;$B20&amp;"]","[IF].[mes]","[IF].[mes].&amp;["&amp;P$8&amp;"]","[IF].[ano]","[IF].[ano].&amp;["&amp;P$7&amp;"]","[IF].[informacion]","[IF].[informacion].&amp;["&amp;P$9&amp;"]"),0)-AB20</f>
        <v>0</v>
      </c>
      <c r="Q20" s="9">
        <f t="shared" si="37"/>
        <v>0</v>
      </c>
      <c r="R20" s="9">
        <f>(IFERROR(GETPIVOTDATA("[Measures].[Suma de valor]",base!$A$3,"[IF].[departamento_jerarquia2]","[IF].[departamento_jerarquia2].&amp;["&amp;R$5&amp;"]","[IF].[grupo_analisis]","[IF].[grupo_analisis].&amp;["&amp;$B20&amp;"]","[IF].[mes]","[IF].[mes].&amp;["&amp;R$8&amp;"]","[IF].[ano]","[IF].[ano].&amp;["&amp;R$7&amp;"]","[IF].[informacion]","[IF].[informacion].&amp;["&amp;R$9&amp;"]"),0)*IF($B$2="Real",1,IF(R$8&lt;6,6/R$8,1))-AD20)*(1+S20)</f>
        <v>0</v>
      </c>
      <c r="S20" s="116">
        <v>0</v>
      </c>
      <c r="T20" s="12">
        <f t="shared" si="60"/>
        <v>0</v>
      </c>
      <c r="U20" s="116">
        <v>0</v>
      </c>
      <c r="V20" s="12">
        <f t="shared" si="38"/>
        <v>0</v>
      </c>
      <c r="W20" s="116">
        <v>0</v>
      </c>
      <c r="X20" s="119">
        <f t="shared" si="63"/>
        <v>0</v>
      </c>
      <c r="Y20" s="116">
        <v>0</v>
      </c>
      <c r="Z20" s="11"/>
      <c r="AA20" s="9">
        <f>IFERROR(GETPIVOTDATA("[Measures].[Suma de valor]",base!$AN$5,"[IF].[grupo_analisis]","[IF].[grupo_analisis].&amp;["&amp;$B20&amp;"]","[IF].[mes]","[IF].[mes].&amp;["&amp;AA$8&amp;"]","[IF].[ano]","[IF].[ano].&amp;["&amp;AA$7&amp;"]","[IF].[informacion]","[IF].[informacion].&amp;["&amp;AA$9&amp;"]"),0)</f>
        <v>0</v>
      </c>
      <c r="AB20" s="9">
        <f>IFERROR(GETPIVOTDATA("[Measures].[Suma de valor]",base!$AN$5,"[IF].[grupo_analisis]","[IF].[grupo_analisis].&amp;["&amp;$B20&amp;"]","[IF].[mes]","[IF].[mes].&amp;["&amp;AB$8&amp;"]","[IF].[ano]","[IF].[ano].&amp;["&amp;AB$7&amp;"]","[IF].[informacion]","[IF].[informacion].&amp;["&amp;AB$9&amp;"]"),0)</f>
        <v>0</v>
      </c>
      <c r="AC20" s="9">
        <f t="shared" si="40"/>
        <v>0</v>
      </c>
      <c r="AD20" s="9">
        <f>(IFERROR(GETPIVOTDATA("[Measures].[Suma de valor]",base!$AN$5,"[IF].[grupo_analisis]","[IF].[grupo_analisis].&amp;["&amp;$B20&amp;"]","[IF].[mes]","[IF].[mes].&amp;["&amp;AD$8&amp;"]","[IF].[ano]","[IF].[ano].&amp;["&amp;AD$7&amp;"]","[IF].[informacion]","[IF].[informacion].&amp;["&amp;AD$9&amp;"]"),0)*IF($B$2="Real",1,IF(AD$8&lt;6,6/AD$8,1)))*(1+S20)</f>
        <v>0</v>
      </c>
      <c r="AE20" s="116">
        <v>0</v>
      </c>
      <c r="AF20" s="12">
        <f t="shared" si="61"/>
        <v>0</v>
      </c>
      <c r="AG20" s="116">
        <v>0</v>
      </c>
      <c r="AH20" s="12">
        <f t="shared" si="41"/>
        <v>0</v>
      </c>
      <c r="AI20" s="116">
        <v>0</v>
      </c>
      <c r="AJ20" s="119">
        <f t="shared" si="62"/>
        <v>0</v>
      </c>
      <c r="AK20" s="116">
        <v>0</v>
      </c>
      <c r="AL20" s="11"/>
      <c r="AM20" s="9">
        <v>60</v>
      </c>
      <c r="AN20" s="9">
        <v>15</v>
      </c>
      <c r="AO20" s="9">
        <v>45</v>
      </c>
      <c r="AP20" s="9">
        <v>0</v>
      </c>
      <c r="AQ20" s="116">
        <v>0</v>
      </c>
      <c r="AR20" s="12">
        <v>45</v>
      </c>
      <c r="AS20" s="116">
        <v>0</v>
      </c>
      <c r="AT20" s="12">
        <v>0</v>
      </c>
      <c r="AU20" s="116">
        <v>0</v>
      </c>
      <c r="AV20" s="119">
        <v>20</v>
      </c>
      <c r="AW20" s="116">
        <v>0</v>
      </c>
      <c r="AX20" s="11"/>
      <c r="AY20" s="9">
        <f>IFERROR(GETPIVOTDATA("[Measures].[Suma de valor]",base!$A$3,"[IF].[departamento_jerarquia2]","[IF].[departamento_jerarquia2].&amp;["&amp;AY$5&amp;"]","[IF].[grupo_analisis]","[IF].[grupo_analisis].&amp;["&amp;$B20&amp;"]","[IF].[mes]","[IF].[mes].&amp;["&amp;AY$8&amp;"]","[IF].[ano]","[IF].[ano].&amp;["&amp;AY$7&amp;"]","[IF].[informacion]","[IF].[informacion].&amp;["&amp;AY$9&amp;"]"),0)</f>
        <v>0</v>
      </c>
      <c r="AZ20" s="9">
        <f>IFERROR(GETPIVOTDATA("[Measures].[Suma de valor]",base!$A$3,"[IF].[departamento_jerarquia2]","[IF].[departamento_jerarquia2].&amp;["&amp;AZ$5&amp;"]","[IF].[grupo_analisis]","[IF].[grupo_analisis].&amp;["&amp;$B20&amp;"]","[IF].[mes]","[IF].[mes].&amp;["&amp;AZ$8&amp;"]","[IF].[ano]","[IF].[ano].&amp;["&amp;AZ$7&amp;"]","[IF].[informacion]","[IF].[informacion].&amp;["&amp;AZ$9&amp;"]"),0)</f>
        <v>0</v>
      </c>
      <c r="BA20" s="9">
        <f t="shared" si="42"/>
        <v>0</v>
      </c>
      <c r="BB20" s="9">
        <f>(IFERROR(GETPIVOTDATA("[Measures].[Suma de valor]",base!$A$3,"[IF].[departamento_jerarquia2]","[IF].[departamento_jerarquia2].&amp;["&amp;BB$5&amp;"]","[IF].[grupo_analisis]","[IF].[grupo_analisis].&amp;["&amp;$B20&amp;"]","[IF].[mes]","[IF].[mes].&amp;["&amp;BB$8&amp;"]","[IF].[ano]","[IF].[ano].&amp;["&amp;BB$7&amp;"]","[IF].[informacion]","[IF].[informacion].&amp;["&amp;BB$9&amp;"]"),0)*IF($B$2="Real",1,IF(BB$8&lt;6,6/BB$8,1)))*(1+BC20)</f>
        <v>0</v>
      </c>
      <c r="BC20" s="116">
        <v>0</v>
      </c>
      <c r="BD20" s="12">
        <f t="shared" si="52"/>
        <v>0</v>
      </c>
      <c r="BE20" s="116">
        <v>0</v>
      </c>
      <c r="BF20" s="12">
        <f t="shared" si="43"/>
        <v>0</v>
      </c>
      <c r="BG20" s="116">
        <v>0</v>
      </c>
      <c r="BH20" s="119">
        <f t="shared" si="53"/>
        <v>0</v>
      </c>
      <c r="BI20" s="116">
        <v>0</v>
      </c>
      <c r="BJ20" s="11"/>
      <c r="BK20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20&amp;"]"),0)</f>
        <v>0</v>
      </c>
      <c r="BL20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20&amp;"]"),0)</f>
        <v>0</v>
      </c>
      <c r="BM20" s="9">
        <f t="shared" si="44"/>
        <v>0</v>
      </c>
      <c r="BN20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20&amp;"]"),0)*IF($B$2="Real",1,IF(BN$8&lt;6,6/BN$8,1)))*(1+BO20)</f>
        <v>0</v>
      </c>
      <c r="BO20" s="116">
        <v>0</v>
      </c>
      <c r="BP20" s="12">
        <f t="shared" si="54"/>
        <v>0</v>
      </c>
      <c r="BQ20" s="116">
        <v>0</v>
      </c>
      <c r="BR20" s="12">
        <f t="shared" si="45"/>
        <v>0</v>
      </c>
      <c r="BS20" s="116">
        <v>0</v>
      </c>
      <c r="BT20" s="119">
        <f t="shared" si="55"/>
        <v>0</v>
      </c>
      <c r="BU20" s="116">
        <v>0</v>
      </c>
      <c r="BV20" s="11"/>
      <c r="BW20" s="9">
        <f>IFERROR(GETPIVOTDATA("[Measures].[Suma de valor]",base!$A$3,"[IF].[departamento_jerarquia2]","[IF].[departamento_jerarquia2].&amp;["&amp;BW$5&amp;"]","[IF].[grupo_analisis]","[IF].[grupo_analisis].&amp;["&amp;$B20&amp;"]","[IF].[mes]","[IF].[mes].&amp;["&amp;BW$8&amp;"]","[IF].[ano]","[IF].[ano].&amp;["&amp;BW$7&amp;"]","[IF].[informacion]","[IF].[informacion].&amp;["&amp;BW$9&amp;"]"),0)</f>
        <v>0</v>
      </c>
      <c r="BX20" s="9">
        <f>IFERROR(GETPIVOTDATA("[Measures].[Suma de valor]",base!$A$3,"[IF].[departamento_jerarquia2]","[IF].[departamento_jerarquia2].&amp;["&amp;BX$5&amp;"]","[IF].[grupo_analisis]","[IF].[grupo_analisis].&amp;["&amp;$B20&amp;"]","[IF].[mes]","[IF].[mes].&amp;["&amp;BX$8&amp;"]","[IF].[ano]","[IF].[ano].&amp;["&amp;BX$7&amp;"]","[IF].[informacion]","[IF].[informacion].&amp;["&amp;BX$9&amp;"]"),0)</f>
        <v>0</v>
      </c>
      <c r="BY20" s="9">
        <f t="shared" si="46"/>
        <v>0</v>
      </c>
      <c r="BZ20" s="9">
        <f>(IFERROR(GETPIVOTDATA("[Measures].[Suma de valor]",base!$A$3,"[IF].[departamento_jerarquia2]","[IF].[departamento_jerarquia2].&amp;["&amp;BZ$5&amp;"]","[IF].[grupo_analisis]","[IF].[grupo_analisis].&amp;["&amp;$B20&amp;"]","[IF].[mes]","[IF].[mes].&amp;["&amp;BZ$8&amp;"]","[IF].[ano]","[IF].[ano].&amp;["&amp;BZ$7&amp;"]","[IF].[informacion]","[IF].[informacion].&amp;["&amp;BZ$9&amp;"]"),0)*IF($B$2="Real",1,IF(BZ$8&lt;6,6/BZ$8,1)))*(1+CA20)</f>
        <v>0</v>
      </c>
      <c r="CA20" s="116">
        <v>0</v>
      </c>
      <c r="CB20" s="12">
        <f t="shared" si="56"/>
        <v>0</v>
      </c>
      <c r="CC20" s="116">
        <v>0</v>
      </c>
      <c r="CD20" s="12">
        <f t="shared" si="47"/>
        <v>0</v>
      </c>
      <c r="CE20" s="116">
        <v>0</v>
      </c>
      <c r="CF20" s="119">
        <f t="shared" si="57"/>
        <v>0</v>
      </c>
      <c r="CG20" s="116">
        <v>0</v>
      </c>
      <c r="CH20" s="11"/>
      <c r="CI20" s="9"/>
      <c r="CJ20" s="9"/>
      <c r="CK20" s="9"/>
      <c r="CL20" s="9"/>
      <c r="CM20" s="116"/>
      <c r="CN20" s="12"/>
      <c r="CO20" s="116"/>
      <c r="CP20" s="12"/>
      <c r="CQ20" s="116"/>
      <c r="CR20" s="119"/>
      <c r="CS20" s="116"/>
      <c r="CT20" s="11"/>
      <c r="CU20" s="9"/>
      <c r="CV20" s="9"/>
      <c r="CW20" s="9"/>
      <c r="CX20" s="9"/>
      <c r="CY20" s="116"/>
      <c r="CZ20" s="12"/>
      <c r="DA20" s="116"/>
      <c r="DB20" s="12"/>
      <c r="DC20" s="116"/>
      <c r="DD20" s="119"/>
      <c r="DE20" s="116"/>
      <c r="DF20" s="11"/>
      <c r="DG20" s="9">
        <f t="shared" si="58"/>
        <v>60</v>
      </c>
      <c r="DH20" s="12">
        <f t="shared" si="48"/>
        <v>0</v>
      </c>
      <c r="DI20" s="119">
        <f t="shared" si="59"/>
        <v>20</v>
      </c>
      <c r="DK20" s="9">
        <f t="shared" si="49"/>
        <v>60</v>
      </c>
      <c r="DL20" s="12">
        <f t="shared" si="49"/>
        <v>0</v>
      </c>
      <c r="DM20" s="119">
        <f t="shared" si="49"/>
        <v>20</v>
      </c>
    </row>
    <row r="21" spans="1:117" x14ac:dyDescent="0.25">
      <c r="B21" s="8" t="s">
        <v>113</v>
      </c>
      <c r="C21" s="10">
        <f>SUM(C22:C37)</f>
        <v>0</v>
      </c>
      <c r="D21" s="10">
        <f>SUM(D22:D37)</f>
        <v>0</v>
      </c>
      <c r="E21" s="10">
        <f>SUM(E22:E37)</f>
        <v>0</v>
      </c>
      <c r="F21" s="9">
        <f>SUM(F22:F37)</f>
        <v>0</v>
      </c>
      <c r="G21" s="116">
        <v>0</v>
      </c>
      <c r="H21" s="13">
        <f t="shared" si="50"/>
        <v>0</v>
      </c>
      <c r="I21" s="116">
        <v>0</v>
      </c>
      <c r="J21" s="13">
        <f t="shared" si="36"/>
        <v>0</v>
      </c>
      <c r="K21" s="116">
        <v>0</v>
      </c>
      <c r="L21" s="120">
        <f>SUM(L22:L37)</f>
        <v>0</v>
      </c>
      <c r="M21" s="116">
        <v>0</v>
      </c>
      <c r="N21" s="111"/>
      <c r="O21" s="10">
        <f t="shared" ref="O21:DI21" si="64">SUM(O22:O37)</f>
        <v>0</v>
      </c>
      <c r="P21" s="10">
        <f t="shared" ref="P21" si="65">SUM(P22:P37)</f>
        <v>0</v>
      </c>
      <c r="Q21" s="10">
        <f>SUM(Q22:Q37)</f>
        <v>0</v>
      </c>
      <c r="R21" s="9">
        <f>SUM(R22:R37)</f>
        <v>0</v>
      </c>
      <c r="S21" s="116">
        <v>0</v>
      </c>
      <c r="T21" s="13">
        <f t="shared" si="60"/>
        <v>0</v>
      </c>
      <c r="U21" s="116">
        <v>0</v>
      </c>
      <c r="V21" s="13">
        <f t="shared" si="38"/>
        <v>0</v>
      </c>
      <c r="W21" s="116">
        <v>0</v>
      </c>
      <c r="X21" s="120">
        <f>SUM(X22:X37)</f>
        <v>0</v>
      </c>
      <c r="Y21" s="116">
        <v>0</v>
      </c>
      <c r="Z21" s="111"/>
      <c r="AA21" s="10">
        <f t="shared" si="64"/>
        <v>0</v>
      </c>
      <c r="AB21" s="10">
        <f t="shared" ref="AB21" si="66">SUM(AB22:AB37)</f>
        <v>0</v>
      </c>
      <c r="AC21" s="10">
        <f>SUM(AC22:AC37)</f>
        <v>0</v>
      </c>
      <c r="AD21" s="9">
        <f t="shared" ref="AD21" si="67">SUM(AD22:AD37)</f>
        <v>0.76160039999999996</v>
      </c>
      <c r="AE21" s="116">
        <v>0</v>
      </c>
      <c r="AF21" s="13">
        <f t="shared" si="61"/>
        <v>0</v>
      </c>
      <c r="AG21" s="116">
        <v>0</v>
      </c>
      <c r="AH21" s="13">
        <f t="shared" si="41"/>
        <v>0.76160039999999996</v>
      </c>
      <c r="AI21" s="116">
        <v>0</v>
      </c>
      <c r="AJ21" s="120">
        <f>SUM(AJ22:AJ37)</f>
        <v>0.76160039999999996</v>
      </c>
      <c r="AK21" s="116">
        <v>0</v>
      </c>
      <c r="AL21" s="111"/>
      <c r="AM21" s="9">
        <v>183.158411</v>
      </c>
      <c r="AN21" s="9">
        <v>91.544673817800003</v>
      </c>
      <c r="AO21" s="9">
        <v>91.613737182199998</v>
      </c>
      <c r="AP21" s="9">
        <v>0</v>
      </c>
      <c r="AQ21" s="116">
        <v>0</v>
      </c>
      <c r="AR21" s="12">
        <v>91.613737182199998</v>
      </c>
      <c r="AS21" s="116">
        <v>0</v>
      </c>
      <c r="AT21" s="12">
        <v>0</v>
      </c>
      <c r="AU21" s="116">
        <v>0</v>
      </c>
      <c r="AV21" s="119">
        <f>29.8+12.5</f>
        <v>42.3</v>
      </c>
      <c r="AW21" s="116">
        <v>0</v>
      </c>
      <c r="AX21" s="111"/>
      <c r="AY21" s="10">
        <f t="shared" si="64"/>
        <v>0</v>
      </c>
      <c r="AZ21" s="10">
        <f t="shared" ref="AZ21" si="68">SUM(AZ22:AZ37)</f>
        <v>0</v>
      </c>
      <c r="BA21" s="10">
        <f>SUM(BA22:BA37)</f>
        <v>0</v>
      </c>
      <c r="BB21" s="9">
        <f>SUM(BB22:BB37)</f>
        <v>0</v>
      </c>
      <c r="BC21" s="116">
        <v>0</v>
      </c>
      <c r="BD21" s="13">
        <f t="shared" si="52"/>
        <v>0</v>
      </c>
      <c r="BE21" s="116">
        <v>0</v>
      </c>
      <c r="BF21" s="13">
        <f t="shared" si="43"/>
        <v>0</v>
      </c>
      <c r="BG21" s="116">
        <v>0</v>
      </c>
      <c r="BH21" s="120">
        <f>SUM(BH22:BH37)</f>
        <v>0</v>
      </c>
      <c r="BI21" s="116">
        <v>0</v>
      </c>
      <c r="BJ21" s="111"/>
      <c r="BK21" s="10">
        <f t="shared" si="64"/>
        <v>0</v>
      </c>
      <c r="BL21" s="10">
        <f t="shared" ref="BL21" si="69">SUM(BL22:BL37)</f>
        <v>0</v>
      </c>
      <c r="BM21" s="10">
        <f>SUM(BM22:BM37)</f>
        <v>0</v>
      </c>
      <c r="BN21" s="9">
        <f>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21&amp;"]"),0)*IF($B$2="Real",1,IF(BO21&lt;&gt;0,(1+BO21),IF(BN$8&lt;6,6/BN$8,1)))</f>
        <v>0</v>
      </c>
      <c r="BO21" s="116">
        <v>0</v>
      </c>
      <c r="BP21" s="13">
        <f t="shared" si="54"/>
        <v>0</v>
      </c>
      <c r="BQ21" s="116">
        <v>0</v>
      </c>
      <c r="BR21" s="13">
        <f t="shared" si="45"/>
        <v>0</v>
      </c>
      <c r="BS21" s="116">
        <v>0</v>
      </c>
      <c r="BT21" s="120">
        <f>SUM(BT22:BT37)</f>
        <v>0</v>
      </c>
      <c r="BU21" s="116">
        <v>0</v>
      </c>
      <c r="BV21" s="111"/>
      <c r="BW21" s="10">
        <f t="shared" si="64"/>
        <v>0</v>
      </c>
      <c r="BX21" s="10">
        <f t="shared" ref="BX21" si="70">SUM(BX22:BX37)</f>
        <v>0</v>
      </c>
      <c r="BY21" s="10">
        <f>SUM(BY22:BY37)</f>
        <v>0</v>
      </c>
      <c r="BZ21" s="9">
        <f>SUM(BZ22:BZ37)</f>
        <v>0</v>
      </c>
      <c r="CA21" s="116">
        <v>0</v>
      </c>
      <c r="CB21" s="13">
        <f t="shared" si="56"/>
        <v>0</v>
      </c>
      <c r="CC21" s="116">
        <v>0</v>
      </c>
      <c r="CD21" s="13">
        <f t="shared" si="47"/>
        <v>0</v>
      </c>
      <c r="CE21" s="116">
        <v>0</v>
      </c>
      <c r="CF21" s="120">
        <f>SUM(CF22:CF37)</f>
        <v>0</v>
      </c>
      <c r="CG21" s="116">
        <v>0</v>
      </c>
      <c r="CH21" s="111"/>
      <c r="CI21" s="10"/>
      <c r="CJ21" s="10"/>
      <c r="CK21" s="10"/>
      <c r="CL21" s="10"/>
      <c r="CM21" s="116"/>
      <c r="CN21" s="13"/>
      <c r="CO21" s="116"/>
      <c r="CP21" s="13"/>
      <c r="CQ21" s="116"/>
      <c r="CR21" s="120"/>
      <c r="CS21" s="116"/>
      <c r="CT21" s="111"/>
      <c r="CU21" s="10"/>
      <c r="CV21" s="10"/>
      <c r="CW21" s="10"/>
      <c r="CX21" s="10"/>
      <c r="CY21" s="116"/>
      <c r="CZ21" s="13"/>
      <c r="DA21" s="116"/>
      <c r="DB21" s="13"/>
      <c r="DC21" s="116"/>
      <c r="DD21" s="120"/>
      <c r="DE21" s="116"/>
      <c r="DF21" s="111"/>
      <c r="DG21" s="10">
        <f t="shared" si="64"/>
        <v>183.158411</v>
      </c>
      <c r="DH21" s="13">
        <f t="shared" si="64"/>
        <v>6.0116003999999998</v>
      </c>
      <c r="DI21" s="120">
        <f t="shared" si="64"/>
        <v>43.061600400000003</v>
      </c>
      <c r="DJ21" s="8"/>
      <c r="DK21" s="10">
        <f t="shared" ref="DK21" si="71">SUM(DK22:DK37)</f>
        <v>172.658411</v>
      </c>
      <c r="DL21" s="13">
        <f t="shared" ref="DL21:DM21" si="72">SUM(DL22:DL37)</f>
        <v>0</v>
      </c>
      <c r="DM21" s="120">
        <f t="shared" si="72"/>
        <v>29.8</v>
      </c>
    </row>
    <row r="22" spans="1:117" outlineLevel="1" x14ac:dyDescent="0.25">
      <c r="A22" t="s">
        <v>132</v>
      </c>
      <c r="B22" t="s">
        <v>167</v>
      </c>
      <c r="C22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22&amp;"]"),0)</f>
        <v>0</v>
      </c>
      <c r="D22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22&amp;"]"),0)</f>
        <v>0</v>
      </c>
      <c r="E22" s="11">
        <f t="shared" si="35"/>
        <v>0</v>
      </c>
      <c r="F22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22&amp;"]"),0)*IF($B$2="Real",1,IF(F$8&lt;6,6/F$8,1)))*(1+G22)</f>
        <v>0</v>
      </c>
      <c r="G22" s="116">
        <v>0</v>
      </c>
      <c r="H22" s="11">
        <f t="shared" si="50"/>
        <v>0</v>
      </c>
      <c r="I22" s="116">
        <v>0</v>
      </c>
      <c r="J22" s="11">
        <f t="shared" si="36"/>
        <v>0</v>
      </c>
      <c r="K22" s="116">
        <v>0</v>
      </c>
      <c r="L22" s="11">
        <f t="shared" si="51"/>
        <v>0</v>
      </c>
      <c r="M22" s="116">
        <v>0</v>
      </c>
      <c r="N22" s="11"/>
      <c r="O22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22&amp;"]"),0)-AA22</f>
        <v>0</v>
      </c>
      <c r="P22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22&amp;"]"),0)-AB22</f>
        <v>0</v>
      </c>
      <c r="Q22" s="11">
        <f t="shared" ref="Q22:Q38" si="73">O22-P22</f>
        <v>0</v>
      </c>
      <c r="R22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22&amp;"]"),0)*IF($B$2="Real",1,IF(R$8&lt;6,6/R$8,1))-AD22)*(1+S22)</f>
        <v>0</v>
      </c>
      <c r="S22" s="116">
        <v>0</v>
      </c>
      <c r="T22" s="11">
        <f t="shared" si="60"/>
        <v>0</v>
      </c>
      <c r="U22" s="116">
        <v>0</v>
      </c>
      <c r="V22" s="11">
        <f t="shared" si="38"/>
        <v>0</v>
      </c>
      <c r="W22" s="116">
        <v>0</v>
      </c>
      <c r="X22" s="11">
        <f t="shared" ref="X22:X37" si="74">V22*(1+Y22)</f>
        <v>0</v>
      </c>
      <c r="Y22" s="116">
        <v>0</v>
      </c>
      <c r="Z22" s="11"/>
      <c r="AA22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valor]",base!$AW$5,"[IF].[mes]","[IF].[mes].&amp;["&amp;AA$8&amp;"]","[IF].[ano]","[IF].[ano].&amp;["&amp;AA$7&amp;"]","[IF].[informacion]","[IF].[informacion].&amp;["&amp;AA$9&amp;"]","[IF].[cuenta_ppto]","[IF].[cuenta_ppto].&amp;["&amp;$A22&amp;"]"),0)</f>
        <v>0</v>
      </c>
      <c r="AB22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valor]",base!$AW$5,"[IF].[mes]","[IF].[mes].&amp;["&amp;AB$8&amp;"]","[IF].[ano]","[IF].[ano].&amp;["&amp;AB$7&amp;"]","[IF].[informacion]","[IF].[informacion].&amp;["&amp;AB$9&amp;"]","[IF].[cuenta_ppto]","[IF].[cuenta_ppto].&amp;["&amp;$A22&amp;"]"),0)</f>
        <v>0</v>
      </c>
      <c r="AC22" s="11">
        <f t="shared" ref="AC22:AC38" si="75">AA22-AB22</f>
        <v>0</v>
      </c>
      <c r="AD22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22&amp;"]"),0)*IF($B$2="Real",1,IF(AD$8&lt;6,6/AD$8,1)))*(1+S20)</f>
        <v>0</v>
      </c>
      <c r="AE22" s="116">
        <v>0</v>
      </c>
      <c r="AF22" s="11">
        <f t="shared" si="61"/>
        <v>0</v>
      </c>
      <c r="AG22" s="116">
        <v>0</v>
      </c>
      <c r="AH22" s="11">
        <f t="shared" si="41"/>
        <v>0</v>
      </c>
      <c r="AI22" s="116">
        <v>0</v>
      </c>
      <c r="AJ22" s="11">
        <f t="shared" ref="AJ22:AJ37" si="76">AH22*(1+AK22)</f>
        <v>0</v>
      </c>
      <c r="AK22" s="116">
        <v>0</v>
      </c>
      <c r="AL22" s="11"/>
      <c r="AM22" s="3">
        <v>0</v>
      </c>
      <c r="AN22" s="3">
        <v>0</v>
      </c>
      <c r="AO22" s="3">
        <v>0</v>
      </c>
      <c r="AP22" s="3">
        <v>0</v>
      </c>
      <c r="AQ22" s="116">
        <v>0</v>
      </c>
      <c r="AR22" s="3">
        <v>0</v>
      </c>
      <c r="AS22" s="116">
        <v>0</v>
      </c>
      <c r="AT22" s="3">
        <v>0</v>
      </c>
      <c r="AU22" s="116">
        <v>0</v>
      </c>
      <c r="AV22" s="3">
        <v>0</v>
      </c>
      <c r="AW22" s="116">
        <v>0</v>
      </c>
      <c r="AX22" s="11"/>
      <c r="AY22" s="11">
        <f>IFERROR(GETPIVOTDATA("[Measures].[Suma de valor]",base!$BF$5,"[IF].[mes]","[IF].[mes].&amp;["&amp;AY$8&amp;"]","[IF].[ano]","[IF].[ano].&amp;["&amp;AY$7&amp;"]","[IF].[informacion]","[IF].[informacion].&amp;[PRESUPUESTO]","[IF].[grupo_analisis]","[IF].[grupo_analisis].&amp;[INGRESOS INTERNOS]"),0)</f>
        <v>0</v>
      </c>
      <c r="AZ22" s="11">
        <f>IFERROR(GETPIVOTDATA("[Measures].[Suma de valor]",base!$BF$5,"[IF].[mes]","[IF].[mes].&amp;["&amp;AZ$8&amp;"]","[IF].[ano]","[IF].[ano].&amp;["&amp;AZ$7&amp;"]","[IF].[informacion]","[IF].[informacion].&amp;[PRESUPUESTO]","[IF].[grupo_analisis]","[IF].[grupo_analisis].&amp;[INGRESOS INTERNOS]"),0)</f>
        <v>0</v>
      </c>
      <c r="BA22" s="11">
        <f t="shared" ref="BA22:BA38" si="77">AY22-AZ22</f>
        <v>0</v>
      </c>
      <c r="BB22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INTERNOS]"),0)*IF($B$2="Real",1,IF(BB$8&lt;6,6/BB$8,1)))*(1+BC22)</f>
        <v>0</v>
      </c>
      <c r="BC22" s="116">
        <v>0</v>
      </c>
      <c r="BD22" s="11">
        <f t="shared" si="52"/>
        <v>0</v>
      </c>
      <c r="BE22" s="116">
        <v>0</v>
      </c>
      <c r="BF22" s="11">
        <f t="shared" si="43"/>
        <v>0</v>
      </c>
      <c r="BG22" s="116">
        <v>0</v>
      </c>
      <c r="BH22" s="11">
        <f t="shared" ref="BH22:BH38" si="78">BF22*(1+BI22)</f>
        <v>0</v>
      </c>
      <c r="BI22" s="116">
        <v>0</v>
      </c>
      <c r="BJ22" s="11"/>
      <c r="BK22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22&amp;"]"),0)</f>
        <v>0</v>
      </c>
      <c r="BL22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22&amp;"]"),0)</f>
        <v>0</v>
      </c>
      <c r="BM22" s="11">
        <f t="shared" ref="BM22:BM38" si="79">BK22-BL22</f>
        <v>0</v>
      </c>
      <c r="BN22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22&amp;"]"),0)*IF($B$2="Real",1,IF(BN$8&lt;6,6/BN$8,1)))*(1+BO22)</f>
        <v>0</v>
      </c>
      <c r="BO22" s="116">
        <v>0</v>
      </c>
      <c r="BP22" s="11">
        <f t="shared" si="54"/>
        <v>0</v>
      </c>
      <c r="BQ22" s="116">
        <v>0</v>
      </c>
      <c r="BR22" s="11">
        <f t="shared" si="45"/>
        <v>0</v>
      </c>
      <c r="BS22" s="116">
        <v>0</v>
      </c>
      <c r="BT22" s="11">
        <f t="shared" ref="BT22:BT38" si="80">BR22*(1+BU22)</f>
        <v>0</v>
      </c>
      <c r="BU22" s="116">
        <v>0</v>
      </c>
      <c r="BV22" s="11"/>
      <c r="BW22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22&amp;"]"),0)</f>
        <v>0</v>
      </c>
      <c r="BX22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22&amp;"]"),0)</f>
        <v>0</v>
      </c>
      <c r="BY22" s="11">
        <f t="shared" ref="BY22:BY38" si="81">BW22-BX22</f>
        <v>0</v>
      </c>
      <c r="BZ22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22&amp;"]"),0)*IF($B$2="Real",1,IF(BZ$8&lt;6,6/BZ$8,1)))*(1+CA22)</f>
        <v>0</v>
      </c>
      <c r="CA22" s="116">
        <v>0</v>
      </c>
      <c r="CB22" s="11">
        <f t="shared" si="56"/>
        <v>0</v>
      </c>
      <c r="CC22" s="116">
        <v>0</v>
      </c>
      <c r="CD22" s="11">
        <f t="shared" si="47"/>
        <v>0</v>
      </c>
      <c r="CE22" s="116">
        <v>0</v>
      </c>
      <c r="CF22" s="11">
        <f t="shared" ref="CF22:CF38" si="82">CD22*(1+CG22)</f>
        <v>0</v>
      </c>
      <c r="CG22" s="116">
        <v>0</v>
      </c>
      <c r="CH22" s="11"/>
      <c r="CI22" s="11"/>
      <c r="CJ22" s="11"/>
      <c r="CK22" s="11"/>
      <c r="CL22" s="11"/>
      <c r="CM22" s="116"/>
      <c r="CN22" s="11"/>
      <c r="CO22" s="116"/>
      <c r="CP22" s="11"/>
      <c r="CQ22" s="116"/>
      <c r="CR22" s="11"/>
      <c r="CS22" s="116"/>
      <c r="CT22" s="11"/>
      <c r="CU22" s="11"/>
      <c r="CV22" s="11"/>
      <c r="CW22" s="11"/>
      <c r="CX22" s="11"/>
      <c r="CY22" s="116"/>
      <c r="CZ22" s="11"/>
      <c r="DA22" s="116"/>
      <c r="DB22" s="11"/>
      <c r="DC22" s="116"/>
      <c r="DD22" s="11"/>
      <c r="DE22" s="116"/>
      <c r="DF22" s="11"/>
      <c r="DG22" s="11">
        <f t="shared" ref="DG22:DG38" si="83">C22+O22+AA22+AM22+AY22+BK22+BW22+CI22+CU22</f>
        <v>0</v>
      </c>
      <c r="DH22" s="11">
        <f t="shared" si="48"/>
        <v>0</v>
      </c>
      <c r="DI22" s="11">
        <f t="shared" ref="DI22:DI38" si="84">L22+X22+AJ22+AV22+BH22+BT22+CF22+CR22+DD22</f>
        <v>0</v>
      </c>
      <c r="DJ22" s="3"/>
      <c r="DK22" s="11">
        <f>AY22</f>
        <v>0</v>
      </c>
      <c r="DL22" s="11">
        <f>BD22</f>
        <v>0</v>
      </c>
      <c r="DM22" s="11">
        <f>BF22</f>
        <v>0</v>
      </c>
    </row>
    <row r="23" spans="1:117" outlineLevel="1" x14ac:dyDescent="0.25">
      <c r="A23" t="s">
        <v>133</v>
      </c>
      <c r="B23" t="s">
        <v>168</v>
      </c>
      <c r="C23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23&amp;"]"),0)</f>
        <v>0</v>
      </c>
      <c r="D23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23&amp;"]"),0)</f>
        <v>0</v>
      </c>
      <c r="E23" s="11">
        <f t="shared" si="35"/>
        <v>0</v>
      </c>
      <c r="F23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23&amp;"]"),0)*IF($B$2="Real",1,IF(F$8&lt;6,6/F$8,1)))*(1+G23)</f>
        <v>0</v>
      </c>
      <c r="G23" s="116">
        <v>0</v>
      </c>
      <c r="H23" s="11">
        <f t="shared" si="50"/>
        <v>0</v>
      </c>
      <c r="I23" s="116">
        <v>0</v>
      </c>
      <c r="J23" s="11">
        <f t="shared" si="36"/>
        <v>0</v>
      </c>
      <c r="K23" s="116">
        <v>0</v>
      </c>
      <c r="L23" s="11">
        <f t="shared" si="51"/>
        <v>0</v>
      </c>
      <c r="M23" s="116">
        <v>0</v>
      </c>
      <c r="N23" s="11"/>
      <c r="O23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23&amp;"]"),0)-AA23</f>
        <v>0</v>
      </c>
      <c r="P23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23&amp;"]"),0)-AB23</f>
        <v>0</v>
      </c>
      <c r="Q23" s="11">
        <f t="shared" si="73"/>
        <v>0</v>
      </c>
      <c r="R23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23&amp;"]"),0)*IF($B$2="Real",1,IF(R$8&lt;6,6/R$8,1))-AD23)*(1+S23)</f>
        <v>0</v>
      </c>
      <c r="S23" s="116">
        <v>0</v>
      </c>
      <c r="T23" s="11">
        <f t="shared" si="60"/>
        <v>0</v>
      </c>
      <c r="U23" s="116">
        <v>0</v>
      </c>
      <c r="V23" s="11">
        <f t="shared" si="38"/>
        <v>0</v>
      </c>
      <c r="W23" s="116">
        <v>0</v>
      </c>
      <c r="X23" s="11">
        <f t="shared" si="74"/>
        <v>0</v>
      </c>
      <c r="Y23" s="116">
        <v>0</v>
      </c>
      <c r="Z23" s="11"/>
      <c r="AA23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valor]",base!$AW$5,"[IF].[mes]","[IF].[mes].&amp;["&amp;AA$8&amp;"]","[IF].[ano]","[IF].[ano].&amp;["&amp;AA$7&amp;"]","[IF].[informacion]","[IF].[informacion].&amp;["&amp;AA$9&amp;"]","[IF].[cuenta_ppto]","[IF].[cuenta_ppto].&amp;["&amp;$A23&amp;"]"),0)</f>
        <v>0</v>
      </c>
      <c r="AB23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valor]",base!$AW$5,"[IF].[mes]","[IF].[mes].&amp;["&amp;AB$8&amp;"]","[IF].[ano]","[IF].[ano].&amp;["&amp;AB$7&amp;"]","[IF].[informacion]","[IF].[informacion].&amp;["&amp;AB$9&amp;"]","[IF].[cuenta_ppto]","[IF].[cuenta_ppto].&amp;["&amp;$A23&amp;"]"),0)</f>
        <v>0</v>
      </c>
      <c r="AC23" s="11">
        <f t="shared" si="75"/>
        <v>0</v>
      </c>
      <c r="AD23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23&amp;"]"),0)*IF($B$2="Real",1,IF(AD$8&lt;6,6/AD$8,1)))*(1+S21)</f>
        <v>0.76160039999999996</v>
      </c>
      <c r="AE23" s="116">
        <v>0</v>
      </c>
      <c r="AF23" s="11">
        <f t="shared" si="61"/>
        <v>0</v>
      </c>
      <c r="AG23" s="116">
        <v>0</v>
      </c>
      <c r="AH23" s="11">
        <f t="shared" si="41"/>
        <v>0.76160039999999996</v>
      </c>
      <c r="AI23" s="116">
        <v>0</v>
      </c>
      <c r="AJ23" s="11">
        <f t="shared" si="76"/>
        <v>0.76160039999999996</v>
      </c>
      <c r="AK23" s="116">
        <v>0</v>
      </c>
      <c r="AL23" s="11"/>
      <c r="AM23" s="3">
        <v>10.5</v>
      </c>
      <c r="AN23" s="3">
        <v>5.25</v>
      </c>
      <c r="AO23" s="3">
        <v>5.25</v>
      </c>
      <c r="AP23" s="3">
        <v>0</v>
      </c>
      <c r="AQ23" s="116">
        <v>0</v>
      </c>
      <c r="AR23" s="3">
        <v>5.25</v>
      </c>
      <c r="AS23" s="116">
        <v>0</v>
      </c>
      <c r="AT23" s="3">
        <v>5.25</v>
      </c>
      <c r="AU23" s="116">
        <v>0</v>
      </c>
      <c r="AV23" s="3">
        <v>12.5</v>
      </c>
      <c r="AW23" s="116">
        <v>0</v>
      </c>
      <c r="AX23" s="11"/>
      <c r="AY23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23&amp;"]"),0)</f>
        <v>0</v>
      </c>
      <c r="AZ23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23&amp;"]"),0)</f>
        <v>0</v>
      </c>
      <c r="BA23" s="11">
        <f t="shared" si="77"/>
        <v>0</v>
      </c>
      <c r="BB23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INTERNOS]"),0)*IF($B$2="Real",1,IF(BB$8&lt;6,6/BB$8,1)))*(1+BC23)</f>
        <v>0</v>
      </c>
      <c r="BC23" s="116">
        <v>0</v>
      </c>
      <c r="BD23" s="11">
        <f t="shared" si="52"/>
        <v>0</v>
      </c>
      <c r="BE23" s="116">
        <v>0</v>
      </c>
      <c r="BF23" s="11">
        <f t="shared" si="43"/>
        <v>0</v>
      </c>
      <c r="BG23" s="116">
        <v>0</v>
      </c>
      <c r="BH23" s="11">
        <f t="shared" si="78"/>
        <v>0</v>
      </c>
      <c r="BI23" s="116">
        <v>0</v>
      </c>
      <c r="BJ23" s="11"/>
      <c r="BK23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23&amp;"]"),0)</f>
        <v>0</v>
      </c>
      <c r="BL23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23&amp;"]"),0)</f>
        <v>0</v>
      </c>
      <c r="BM23" s="11">
        <f t="shared" si="79"/>
        <v>0</v>
      </c>
      <c r="BN23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23&amp;"]"),0)*IF($B$2="Real",1,IF(BN$8&lt;6,6/BN$8,1)))*(1+BO23)</f>
        <v>0</v>
      </c>
      <c r="BO23" s="116">
        <v>0</v>
      </c>
      <c r="BP23" s="11">
        <f t="shared" si="54"/>
        <v>0</v>
      </c>
      <c r="BQ23" s="116">
        <v>0</v>
      </c>
      <c r="BR23" s="11">
        <f t="shared" si="45"/>
        <v>0</v>
      </c>
      <c r="BS23" s="116">
        <v>0</v>
      </c>
      <c r="BT23" s="11">
        <f t="shared" si="80"/>
        <v>0</v>
      </c>
      <c r="BU23" s="116">
        <v>0</v>
      </c>
      <c r="BV23" s="11"/>
      <c r="BW23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23&amp;"]"),0)</f>
        <v>0</v>
      </c>
      <c r="BX23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23&amp;"]"),0)</f>
        <v>0</v>
      </c>
      <c r="BY23" s="11">
        <f t="shared" si="81"/>
        <v>0</v>
      </c>
      <c r="BZ23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23&amp;"]"),0)*IF($B$2="Real",1,IF(BZ$8&lt;6,6/BZ$8,1)))*(1+CA23)</f>
        <v>0</v>
      </c>
      <c r="CA23" s="116">
        <v>0</v>
      </c>
      <c r="CB23" s="11">
        <f t="shared" si="56"/>
        <v>0</v>
      </c>
      <c r="CC23" s="116">
        <v>0</v>
      </c>
      <c r="CD23" s="11">
        <f t="shared" si="47"/>
        <v>0</v>
      </c>
      <c r="CE23" s="116">
        <v>0</v>
      </c>
      <c r="CF23" s="11">
        <f t="shared" si="82"/>
        <v>0</v>
      </c>
      <c r="CG23" s="116">
        <v>0</v>
      </c>
      <c r="CH23" s="11"/>
      <c r="CI23" s="11"/>
      <c r="CJ23" s="11"/>
      <c r="CK23" s="11"/>
      <c r="CL23" s="11"/>
      <c r="CM23" s="116"/>
      <c r="CN23" s="11"/>
      <c r="CO23" s="116"/>
      <c r="CP23" s="11"/>
      <c r="CQ23" s="116"/>
      <c r="CR23" s="11"/>
      <c r="CS23" s="116"/>
      <c r="CT23" s="11"/>
      <c r="CU23" s="11"/>
      <c r="CV23" s="11"/>
      <c r="CW23" s="11"/>
      <c r="CX23" s="11"/>
      <c r="CY23" s="116"/>
      <c r="CZ23" s="11"/>
      <c r="DA23" s="116"/>
      <c r="DB23" s="11"/>
      <c r="DC23" s="116"/>
      <c r="DD23" s="11"/>
      <c r="DE23" s="116"/>
      <c r="DF23" s="11"/>
      <c r="DG23" s="11">
        <f t="shared" si="83"/>
        <v>10.5</v>
      </c>
      <c r="DH23" s="11">
        <f t="shared" si="48"/>
        <v>6.0116003999999998</v>
      </c>
      <c r="DI23" s="11">
        <f t="shared" si="84"/>
        <v>13.261600400000001</v>
      </c>
      <c r="DK23" s="11"/>
      <c r="DL23" s="11"/>
      <c r="DM23" s="11"/>
    </row>
    <row r="24" spans="1:117" outlineLevel="1" x14ac:dyDescent="0.25">
      <c r="A24" t="s">
        <v>134</v>
      </c>
      <c r="B24" t="s">
        <v>169</v>
      </c>
      <c r="C24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24&amp;"]"),0)</f>
        <v>0</v>
      </c>
      <c r="D24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24&amp;"]"),0)</f>
        <v>0</v>
      </c>
      <c r="E24" s="11">
        <f t="shared" si="35"/>
        <v>0</v>
      </c>
      <c r="F24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24&amp;"]"),0)*IF($B$2="Real",1,IF(F$8&lt;6,6/F$8,1)))*(1+G24)</f>
        <v>0</v>
      </c>
      <c r="G24" s="116">
        <v>0</v>
      </c>
      <c r="H24" s="11">
        <f t="shared" si="50"/>
        <v>0</v>
      </c>
      <c r="I24" s="116">
        <v>0</v>
      </c>
      <c r="J24" s="11">
        <f t="shared" si="36"/>
        <v>0</v>
      </c>
      <c r="K24" s="116">
        <v>0</v>
      </c>
      <c r="L24" s="11">
        <f t="shared" si="51"/>
        <v>0</v>
      </c>
      <c r="M24" s="116">
        <v>0</v>
      </c>
      <c r="N24" s="11"/>
      <c r="O24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24&amp;"]"),0)-AA24</f>
        <v>0</v>
      </c>
      <c r="P24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24&amp;"]"),0)-AB24</f>
        <v>0</v>
      </c>
      <c r="Q24" s="11">
        <f t="shared" si="73"/>
        <v>0</v>
      </c>
      <c r="R24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24&amp;"]"),0)*IF($B$2="Real",1,IF(R$8&lt;6,6/R$8,1))-AD24)*(1+S24)</f>
        <v>0</v>
      </c>
      <c r="S24" s="116">
        <v>0</v>
      </c>
      <c r="T24" s="11">
        <f t="shared" si="60"/>
        <v>0</v>
      </c>
      <c r="U24" s="116">
        <v>0</v>
      </c>
      <c r="V24" s="11">
        <f t="shared" si="38"/>
        <v>0</v>
      </c>
      <c r="W24" s="116">
        <v>0</v>
      </c>
      <c r="X24" s="11">
        <f t="shared" si="74"/>
        <v>0</v>
      </c>
      <c r="Y24" s="116">
        <v>0</v>
      </c>
      <c r="Z24" s="11"/>
      <c r="AA24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valor]",base!$AW$5,"[IF].[mes]","[IF].[mes].&amp;["&amp;AA$8&amp;"]","[IF].[ano]","[IF].[ano].&amp;["&amp;AA$7&amp;"]","[IF].[informacion]","[IF].[informacion].&amp;["&amp;AA$9&amp;"]","[IF].[cuenta_ppto]","[IF].[cuenta_ppto].&amp;["&amp;$A24&amp;"]"),0)</f>
        <v>0</v>
      </c>
      <c r="AB24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valor]",base!$AW$5,"[IF].[mes]","[IF].[mes].&amp;["&amp;AB$8&amp;"]","[IF].[ano]","[IF].[ano].&amp;["&amp;AB$7&amp;"]","[IF].[informacion]","[IF].[informacion].&amp;["&amp;AB$9&amp;"]","[IF].[cuenta_ppto]","[IF].[cuenta_ppto].&amp;["&amp;$A24&amp;"]"),0)</f>
        <v>0</v>
      </c>
      <c r="AC24" s="11">
        <f t="shared" si="75"/>
        <v>0</v>
      </c>
      <c r="AD24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24&amp;"]"),0)*IF($B$2="Real",1,IF(AD$8&lt;6,6/AD$8,1)))*(1+S22)</f>
        <v>0</v>
      </c>
      <c r="AE24" s="116">
        <v>0</v>
      </c>
      <c r="AF24" s="11">
        <f t="shared" si="61"/>
        <v>0</v>
      </c>
      <c r="AG24" s="116">
        <v>0</v>
      </c>
      <c r="AH24" s="11">
        <f t="shared" si="41"/>
        <v>0</v>
      </c>
      <c r="AI24" s="116">
        <v>0</v>
      </c>
      <c r="AJ24" s="11">
        <f t="shared" si="76"/>
        <v>0</v>
      </c>
      <c r="AK24" s="116">
        <v>0</v>
      </c>
      <c r="AL24" s="11"/>
      <c r="AM24" s="3">
        <v>0</v>
      </c>
      <c r="AN24" s="3">
        <v>0</v>
      </c>
      <c r="AO24" s="3">
        <v>0</v>
      </c>
      <c r="AP24" s="3">
        <v>0</v>
      </c>
      <c r="AQ24" s="116">
        <v>0</v>
      </c>
      <c r="AR24" s="3">
        <v>0</v>
      </c>
      <c r="AS24" s="116">
        <v>0</v>
      </c>
      <c r="AT24" s="3">
        <v>0</v>
      </c>
      <c r="AU24" s="116">
        <v>0</v>
      </c>
      <c r="AV24" s="3">
        <v>0</v>
      </c>
      <c r="AW24" s="116">
        <v>0</v>
      </c>
      <c r="AX24" s="11"/>
      <c r="AY24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24&amp;"]"),0)</f>
        <v>0</v>
      </c>
      <c r="AZ24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24&amp;"]"),0)</f>
        <v>0</v>
      </c>
      <c r="BA24" s="11">
        <f t="shared" si="77"/>
        <v>0</v>
      </c>
      <c r="BB24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INTERNOS]"),0)*IF($B$2="Real",1,IF(BB$8&lt;6,6/BB$8,1)))*(1+BC24)</f>
        <v>0</v>
      </c>
      <c r="BC24" s="116">
        <v>0</v>
      </c>
      <c r="BD24" s="11">
        <f t="shared" si="52"/>
        <v>0</v>
      </c>
      <c r="BE24" s="116">
        <v>0</v>
      </c>
      <c r="BF24" s="11">
        <f t="shared" si="43"/>
        <v>0</v>
      </c>
      <c r="BG24" s="116">
        <v>0</v>
      </c>
      <c r="BH24" s="11">
        <f t="shared" si="78"/>
        <v>0</v>
      </c>
      <c r="BI24" s="116">
        <v>0</v>
      </c>
      <c r="BJ24" s="11"/>
      <c r="BK24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24&amp;"]"),0)</f>
        <v>0</v>
      </c>
      <c r="BL24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24&amp;"]"),0)</f>
        <v>0</v>
      </c>
      <c r="BM24" s="11">
        <f t="shared" si="79"/>
        <v>0</v>
      </c>
      <c r="BN24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24&amp;"]"),0)*IF($B$2="Real",1,IF(BN$8&lt;6,6/BN$8,1)))*(1+BO24)</f>
        <v>0</v>
      </c>
      <c r="BO24" s="116">
        <v>0</v>
      </c>
      <c r="BP24" s="11">
        <f t="shared" si="54"/>
        <v>0</v>
      </c>
      <c r="BQ24" s="116">
        <v>0</v>
      </c>
      <c r="BR24" s="11">
        <f t="shared" si="45"/>
        <v>0</v>
      </c>
      <c r="BS24" s="116">
        <v>0</v>
      </c>
      <c r="BT24" s="11">
        <f t="shared" si="80"/>
        <v>0</v>
      </c>
      <c r="BU24" s="116">
        <v>0</v>
      </c>
      <c r="BV24" s="11"/>
      <c r="BW24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24&amp;"]"),0)</f>
        <v>0</v>
      </c>
      <c r="BX24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24&amp;"]"),0)</f>
        <v>0</v>
      </c>
      <c r="BY24" s="11">
        <f t="shared" si="81"/>
        <v>0</v>
      </c>
      <c r="BZ24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24&amp;"]"),0)*IF($B$2="Real",1,IF(BZ$8&lt;6,6/BZ$8,1)))*(1+CA24)</f>
        <v>0</v>
      </c>
      <c r="CA24" s="116">
        <v>0</v>
      </c>
      <c r="CB24" s="11">
        <f t="shared" si="56"/>
        <v>0</v>
      </c>
      <c r="CC24" s="116">
        <v>0</v>
      </c>
      <c r="CD24" s="11">
        <f t="shared" si="47"/>
        <v>0</v>
      </c>
      <c r="CE24" s="116">
        <v>0</v>
      </c>
      <c r="CF24" s="11">
        <f t="shared" si="82"/>
        <v>0</v>
      </c>
      <c r="CG24" s="116">
        <v>0</v>
      </c>
      <c r="CH24" s="11"/>
      <c r="CI24" s="11"/>
      <c r="CJ24" s="11"/>
      <c r="CK24" s="11"/>
      <c r="CL24" s="11"/>
      <c r="CM24" s="116"/>
      <c r="CN24" s="11"/>
      <c r="CO24" s="116"/>
      <c r="CP24" s="11"/>
      <c r="CQ24" s="116"/>
      <c r="CR24" s="11"/>
      <c r="CS24" s="116"/>
      <c r="CT24" s="11"/>
      <c r="CU24" s="11"/>
      <c r="CV24" s="11"/>
      <c r="CW24" s="11"/>
      <c r="CX24" s="11"/>
      <c r="CY24" s="116"/>
      <c r="CZ24" s="11"/>
      <c r="DA24" s="116"/>
      <c r="DB24" s="11"/>
      <c r="DC24" s="116"/>
      <c r="DD24" s="11"/>
      <c r="DE24" s="116"/>
      <c r="DF24" s="11"/>
      <c r="DG24" s="11">
        <f t="shared" si="83"/>
        <v>0</v>
      </c>
      <c r="DH24" s="11">
        <f t="shared" si="48"/>
        <v>0</v>
      </c>
      <c r="DI24" s="11">
        <f t="shared" si="84"/>
        <v>0</v>
      </c>
      <c r="DK24" s="11"/>
      <c r="DL24" s="11"/>
      <c r="DM24" s="11"/>
    </row>
    <row r="25" spans="1:117" outlineLevel="1" x14ac:dyDescent="0.25">
      <c r="A25" t="s">
        <v>135</v>
      </c>
      <c r="B25" t="s">
        <v>170</v>
      </c>
      <c r="C25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25&amp;"]"),0)</f>
        <v>0</v>
      </c>
      <c r="D25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25&amp;"]"),0)</f>
        <v>0</v>
      </c>
      <c r="E25" s="11">
        <f t="shared" si="35"/>
        <v>0</v>
      </c>
      <c r="F25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25&amp;"]"),0)*IF($B$2="Real",1,IF(F$8&lt;6,6/F$8,1)))*(1+G25)</f>
        <v>0</v>
      </c>
      <c r="G25" s="116">
        <v>0</v>
      </c>
      <c r="H25" s="11">
        <f t="shared" si="50"/>
        <v>0</v>
      </c>
      <c r="I25" s="116">
        <v>0</v>
      </c>
      <c r="J25" s="11">
        <f t="shared" si="36"/>
        <v>0</v>
      </c>
      <c r="K25" s="116">
        <v>0</v>
      </c>
      <c r="L25" s="11">
        <f t="shared" si="51"/>
        <v>0</v>
      </c>
      <c r="M25" s="116">
        <v>0</v>
      </c>
      <c r="N25" s="11"/>
      <c r="O25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25&amp;"]"),0)-AA25</f>
        <v>0</v>
      </c>
      <c r="P25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25&amp;"]"),0)-AB25</f>
        <v>0</v>
      </c>
      <c r="Q25" s="11">
        <f t="shared" si="73"/>
        <v>0</v>
      </c>
      <c r="R25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25&amp;"]"),0)*IF($B$2="Real",1,IF(R$8&lt;6,6/R$8,1))-AD25)*(1+S25)</f>
        <v>0</v>
      </c>
      <c r="S25" s="116">
        <v>0</v>
      </c>
      <c r="T25" s="11">
        <f t="shared" si="60"/>
        <v>0</v>
      </c>
      <c r="U25" s="116">
        <v>0</v>
      </c>
      <c r="V25" s="11">
        <f t="shared" si="38"/>
        <v>0</v>
      </c>
      <c r="W25" s="116">
        <v>0</v>
      </c>
      <c r="X25" s="11">
        <f t="shared" si="74"/>
        <v>0</v>
      </c>
      <c r="Y25" s="116">
        <v>0</v>
      </c>
      <c r="Z25" s="11"/>
      <c r="AA25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valor]",base!$AW$5,"[IF].[mes]","[IF].[mes].&amp;["&amp;AA$8&amp;"]","[IF].[ano]","[IF].[ano].&amp;["&amp;AA$7&amp;"]","[IF].[informacion]","[IF].[informacion].&amp;["&amp;AA$9&amp;"]","[IF].[cuenta_ppto]","[IF].[cuenta_ppto].&amp;["&amp;$A25&amp;"]"),0)</f>
        <v>0</v>
      </c>
      <c r="AB25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valor]",base!$AW$5,"[IF].[mes]","[IF].[mes].&amp;["&amp;AB$8&amp;"]","[IF].[ano]","[IF].[ano].&amp;["&amp;AB$7&amp;"]","[IF].[informacion]","[IF].[informacion].&amp;["&amp;AB$9&amp;"]","[IF].[cuenta_ppto]","[IF].[cuenta_ppto].&amp;["&amp;$A25&amp;"]"),0)</f>
        <v>0</v>
      </c>
      <c r="AC25" s="11">
        <f t="shared" si="75"/>
        <v>0</v>
      </c>
      <c r="AD25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25&amp;"]"),0)*IF($B$2="Real",1,IF(AD$8&lt;6,6/AD$8,1)))*(1+S23)</f>
        <v>0</v>
      </c>
      <c r="AE25" s="116">
        <v>0</v>
      </c>
      <c r="AF25" s="11">
        <f t="shared" si="61"/>
        <v>0</v>
      </c>
      <c r="AG25" s="116">
        <v>0</v>
      </c>
      <c r="AH25" s="11">
        <f t="shared" si="41"/>
        <v>0</v>
      </c>
      <c r="AI25" s="116">
        <v>0</v>
      </c>
      <c r="AJ25" s="11">
        <f t="shared" si="76"/>
        <v>0</v>
      </c>
      <c r="AK25" s="116">
        <v>0</v>
      </c>
      <c r="AL25" s="11"/>
      <c r="AM25" s="3">
        <v>0</v>
      </c>
      <c r="AN25" s="3">
        <v>0</v>
      </c>
      <c r="AO25" s="3">
        <v>0</v>
      </c>
      <c r="AP25" s="3">
        <v>0</v>
      </c>
      <c r="AQ25" s="116">
        <v>0</v>
      </c>
      <c r="AR25" s="3">
        <v>0</v>
      </c>
      <c r="AS25" s="116">
        <v>0</v>
      </c>
      <c r="AT25" s="3">
        <v>0</v>
      </c>
      <c r="AU25" s="116">
        <v>0</v>
      </c>
      <c r="AV25" s="3">
        <v>0</v>
      </c>
      <c r="AW25" s="116">
        <v>0</v>
      </c>
      <c r="AX25" s="11"/>
      <c r="AY25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25&amp;"]"),0)</f>
        <v>0</v>
      </c>
      <c r="AZ25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25&amp;"]"),0)</f>
        <v>0</v>
      </c>
      <c r="BA25" s="11">
        <f t="shared" si="77"/>
        <v>0</v>
      </c>
      <c r="BB25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INTERNOS]"),0)*IF($B$2="Real",1,IF(BB$8&lt;6,6/BB$8,1)))*(1+BC25)</f>
        <v>0</v>
      </c>
      <c r="BC25" s="116">
        <v>0</v>
      </c>
      <c r="BD25" s="11">
        <f t="shared" si="52"/>
        <v>0</v>
      </c>
      <c r="BE25" s="116">
        <v>0</v>
      </c>
      <c r="BF25" s="11">
        <f t="shared" si="43"/>
        <v>0</v>
      </c>
      <c r="BG25" s="116">
        <v>0</v>
      </c>
      <c r="BH25" s="11">
        <f t="shared" si="78"/>
        <v>0</v>
      </c>
      <c r="BI25" s="116">
        <v>0</v>
      </c>
      <c r="BJ25" s="11"/>
      <c r="BK25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25&amp;"]"),0)</f>
        <v>0</v>
      </c>
      <c r="BL25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25&amp;"]"),0)</f>
        <v>0</v>
      </c>
      <c r="BM25" s="11">
        <f t="shared" si="79"/>
        <v>0</v>
      </c>
      <c r="BN25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25&amp;"]"),0)*IF($B$2="Real",1,IF(BN$8&lt;6,6/BN$8,1)))*(1+BO25)</f>
        <v>0</v>
      </c>
      <c r="BO25" s="116">
        <v>0</v>
      </c>
      <c r="BP25" s="11">
        <f t="shared" si="54"/>
        <v>0</v>
      </c>
      <c r="BQ25" s="116">
        <v>0</v>
      </c>
      <c r="BR25" s="11">
        <f t="shared" si="45"/>
        <v>0</v>
      </c>
      <c r="BS25" s="116">
        <v>0</v>
      </c>
      <c r="BT25" s="11">
        <f t="shared" si="80"/>
        <v>0</v>
      </c>
      <c r="BU25" s="116">
        <v>0</v>
      </c>
      <c r="BV25" s="11"/>
      <c r="BW25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25&amp;"]"),0)</f>
        <v>0</v>
      </c>
      <c r="BX25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25&amp;"]"),0)</f>
        <v>0</v>
      </c>
      <c r="BY25" s="11">
        <f t="shared" si="81"/>
        <v>0</v>
      </c>
      <c r="BZ25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25&amp;"]"),0)*IF($B$2="Real",1,IF(BZ$8&lt;6,6/BZ$8,1)))*(1+CA25)</f>
        <v>0</v>
      </c>
      <c r="CA25" s="116">
        <v>0</v>
      </c>
      <c r="CB25" s="11">
        <f t="shared" si="56"/>
        <v>0</v>
      </c>
      <c r="CC25" s="116">
        <v>0</v>
      </c>
      <c r="CD25" s="11">
        <f t="shared" si="47"/>
        <v>0</v>
      </c>
      <c r="CE25" s="116">
        <v>0</v>
      </c>
      <c r="CF25" s="11">
        <f t="shared" si="82"/>
        <v>0</v>
      </c>
      <c r="CG25" s="116">
        <v>0</v>
      </c>
      <c r="CH25" s="11"/>
      <c r="CI25" s="11"/>
      <c r="CJ25" s="11"/>
      <c r="CK25" s="11"/>
      <c r="CL25" s="11"/>
      <c r="CM25" s="116"/>
      <c r="CN25" s="11"/>
      <c r="CO25" s="116"/>
      <c r="CP25" s="11"/>
      <c r="CQ25" s="116"/>
      <c r="CR25" s="11"/>
      <c r="CS25" s="116"/>
      <c r="CT25" s="11"/>
      <c r="CU25" s="11"/>
      <c r="CV25" s="11"/>
      <c r="CW25" s="11"/>
      <c r="CX25" s="11"/>
      <c r="CY25" s="116"/>
      <c r="CZ25" s="11"/>
      <c r="DA25" s="116"/>
      <c r="DB25" s="11"/>
      <c r="DC25" s="116"/>
      <c r="DD25" s="11"/>
      <c r="DE25" s="116"/>
      <c r="DF25" s="11"/>
      <c r="DG25" s="11">
        <f t="shared" si="83"/>
        <v>0</v>
      </c>
      <c r="DH25" s="11">
        <f t="shared" si="48"/>
        <v>0</v>
      </c>
      <c r="DI25" s="11">
        <f t="shared" si="84"/>
        <v>0</v>
      </c>
      <c r="DK25" s="11"/>
      <c r="DL25" s="11"/>
      <c r="DM25" s="11"/>
    </row>
    <row r="26" spans="1:117" outlineLevel="1" x14ac:dyDescent="0.25">
      <c r="A26" t="s">
        <v>136</v>
      </c>
      <c r="B26" t="s">
        <v>171</v>
      </c>
      <c r="C26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26&amp;"]"),0)</f>
        <v>0</v>
      </c>
      <c r="D26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26&amp;"]"),0)</f>
        <v>0</v>
      </c>
      <c r="E26" s="11">
        <f t="shared" si="35"/>
        <v>0</v>
      </c>
      <c r="F26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26&amp;"]"),0)*IF($B$2="Real",1,IF(F$8&lt;6,6/F$8,1)))*(1+G26)</f>
        <v>0</v>
      </c>
      <c r="G26" s="116">
        <v>0</v>
      </c>
      <c r="H26" s="11">
        <f t="shared" si="50"/>
        <v>0</v>
      </c>
      <c r="I26" s="116">
        <v>0</v>
      </c>
      <c r="J26" s="11">
        <f t="shared" si="36"/>
        <v>0</v>
      </c>
      <c r="K26" s="116">
        <v>0</v>
      </c>
      <c r="L26" s="11">
        <f t="shared" si="51"/>
        <v>0</v>
      </c>
      <c r="M26" s="116">
        <v>0</v>
      </c>
      <c r="N26" s="11"/>
      <c r="O26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26&amp;"]"),0)-AA26</f>
        <v>0</v>
      </c>
      <c r="P26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26&amp;"]"),0)-AB26</f>
        <v>0</v>
      </c>
      <c r="Q26" s="11">
        <f t="shared" si="73"/>
        <v>0</v>
      </c>
      <c r="R26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26&amp;"]"),0)*IF($B$2="Real",1,IF(R$8&lt;6,6/R$8,1))-AD26)*(1+S26)</f>
        <v>0</v>
      </c>
      <c r="S26" s="116">
        <v>0</v>
      </c>
      <c r="T26" s="11">
        <f t="shared" si="60"/>
        <v>0</v>
      </c>
      <c r="U26" s="116">
        <v>0</v>
      </c>
      <c r="V26" s="11">
        <f t="shared" si="38"/>
        <v>0</v>
      </c>
      <c r="W26" s="116">
        <v>0</v>
      </c>
      <c r="X26" s="11">
        <f t="shared" si="74"/>
        <v>0</v>
      </c>
      <c r="Y26" s="116">
        <v>0</v>
      </c>
      <c r="Z26" s="11"/>
      <c r="AA26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valor]",base!$AW$5,"[IF].[mes]","[IF].[mes].&amp;["&amp;AA$8&amp;"]","[IF].[ano]","[IF].[ano].&amp;["&amp;AA$7&amp;"]","[IF].[informacion]","[IF].[informacion].&amp;["&amp;AA$9&amp;"]","[IF].[cuenta_ppto]","[IF].[cuenta_ppto].&amp;["&amp;$A26&amp;"]"),0)</f>
        <v>0</v>
      </c>
      <c r="AB26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valor]",base!$AW$5,"[IF].[mes]","[IF].[mes].&amp;["&amp;AB$8&amp;"]","[IF].[ano]","[IF].[ano].&amp;["&amp;AB$7&amp;"]","[IF].[informacion]","[IF].[informacion].&amp;["&amp;AB$9&amp;"]","[IF].[cuenta_ppto]","[IF].[cuenta_ppto].&amp;["&amp;$A26&amp;"]"),0)</f>
        <v>0</v>
      </c>
      <c r="AC26" s="11">
        <f t="shared" si="75"/>
        <v>0</v>
      </c>
      <c r="AD26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26&amp;"]"),0)*IF($B$2="Real",1,IF(AD$8&lt;6,6/AD$8,1)))*(1+S24)</f>
        <v>0</v>
      </c>
      <c r="AE26" s="116">
        <v>0</v>
      </c>
      <c r="AF26" s="11">
        <f t="shared" si="61"/>
        <v>0</v>
      </c>
      <c r="AG26" s="116">
        <v>0</v>
      </c>
      <c r="AH26" s="11">
        <f t="shared" si="41"/>
        <v>0</v>
      </c>
      <c r="AI26" s="116">
        <v>0</v>
      </c>
      <c r="AJ26" s="11">
        <f t="shared" si="76"/>
        <v>0</v>
      </c>
      <c r="AK26" s="116">
        <v>0</v>
      </c>
      <c r="AL26" s="11"/>
      <c r="AM26" s="3">
        <v>0</v>
      </c>
      <c r="AN26" s="3">
        <v>0</v>
      </c>
      <c r="AO26" s="3">
        <v>0</v>
      </c>
      <c r="AP26" s="3">
        <v>0</v>
      </c>
      <c r="AQ26" s="116">
        <v>0</v>
      </c>
      <c r="AR26" s="3">
        <v>0</v>
      </c>
      <c r="AS26" s="116">
        <v>0</v>
      </c>
      <c r="AT26" s="3">
        <v>0</v>
      </c>
      <c r="AU26" s="116">
        <v>0</v>
      </c>
      <c r="AV26" s="3">
        <v>0</v>
      </c>
      <c r="AW26" s="116">
        <v>0</v>
      </c>
      <c r="AX26" s="11"/>
      <c r="AY26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26&amp;"]"),0)</f>
        <v>0</v>
      </c>
      <c r="AZ26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26&amp;"]"),0)</f>
        <v>0</v>
      </c>
      <c r="BA26" s="11">
        <f t="shared" si="77"/>
        <v>0</v>
      </c>
      <c r="BB26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INTERNOS]"),0)*IF($B$2="Real",1,IF(BB$8&lt;6,6/BB$8,1)))*(1+BC26)</f>
        <v>0</v>
      </c>
      <c r="BC26" s="116">
        <v>0</v>
      </c>
      <c r="BD26" s="11">
        <f t="shared" si="52"/>
        <v>0</v>
      </c>
      <c r="BE26" s="116">
        <v>0</v>
      </c>
      <c r="BF26" s="11">
        <f t="shared" si="43"/>
        <v>0</v>
      </c>
      <c r="BG26" s="116">
        <v>0</v>
      </c>
      <c r="BH26" s="11">
        <f t="shared" si="78"/>
        <v>0</v>
      </c>
      <c r="BI26" s="116">
        <v>0</v>
      </c>
      <c r="BJ26" s="11"/>
      <c r="BK26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26&amp;"]"),0)</f>
        <v>0</v>
      </c>
      <c r="BL26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26&amp;"]"),0)</f>
        <v>0</v>
      </c>
      <c r="BM26" s="11">
        <f t="shared" si="79"/>
        <v>0</v>
      </c>
      <c r="BN26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26&amp;"]"),0)*IF($B$2="Real",1,IF(BN$8&lt;6,6/BN$8,1)))*(1+BO26)</f>
        <v>0</v>
      </c>
      <c r="BO26" s="116">
        <v>0</v>
      </c>
      <c r="BP26" s="11">
        <f t="shared" si="54"/>
        <v>0</v>
      </c>
      <c r="BQ26" s="116">
        <v>0</v>
      </c>
      <c r="BR26" s="11">
        <f t="shared" si="45"/>
        <v>0</v>
      </c>
      <c r="BS26" s="116">
        <v>0</v>
      </c>
      <c r="BT26" s="11">
        <f t="shared" si="80"/>
        <v>0</v>
      </c>
      <c r="BU26" s="116">
        <v>0</v>
      </c>
      <c r="BV26" s="11"/>
      <c r="BW26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26&amp;"]"),0)</f>
        <v>0</v>
      </c>
      <c r="BX26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26&amp;"]"),0)</f>
        <v>0</v>
      </c>
      <c r="BY26" s="11">
        <f t="shared" si="81"/>
        <v>0</v>
      </c>
      <c r="BZ26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26&amp;"]"),0)*IF($B$2="Real",1,IF(BZ$8&lt;6,6/BZ$8,1)))*(1+CA26)</f>
        <v>0</v>
      </c>
      <c r="CA26" s="116">
        <v>0</v>
      </c>
      <c r="CB26" s="11">
        <f t="shared" si="56"/>
        <v>0</v>
      </c>
      <c r="CC26" s="116">
        <v>0</v>
      </c>
      <c r="CD26" s="11">
        <f t="shared" si="47"/>
        <v>0</v>
      </c>
      <c r="CE26" s="116">
        <v>0</v>
      </c>
      <c r="CF26" s="11">
        <f t="shared" si="82"/>
        <v>0</v>
      </c>
      <c r="CG26" s="116">
        <v>0</v>
      </c>
      <c r="CH26" s="11"/>
      <c r="CI26" s="11"/>
      <c r="CJ26" s="11"/>
      <c r="CK26" s="11"/>
      <c r="CL26" s="11"/>
      <c r="CM26" s="116"/>
      <c r="CN26" s="11"/>
      <c r="CO26" s="116"/>
      <c r="CP26" s="11"/>
      <c r="CQ26" s="116"/>
      <c r="CR26" s="11"/>
      <c r="CS26" s="116"/>
      <c r="CT26" s="11"/>
      <c r="CU26" s="11"/>
      <c r="CV26" s="11"/>
      <c r="CW26" s="11"/>
      <c r="CX26" s="11"/>
      <c r="CY26" s="116"/>
      <c r="CZ26" s="11"/>
      <c r="DA26" s="116"/>
      <c r="DB26" s="11"/>
      <c r="DC26" s="116"/>
      <c r="DD26" s="11"/>
      <c r="DE26" s="116"/>
      <c r="DF26" s="11"/>
      <c r="DG26" s="11">
        <f t="shared" si="83"/>
        <v>0</v>
      </c>
      <c r="DH26" s="11">
        <f t="shared" si="48"/>
        <v>0</v>
      </c>
      <c r="DI26" s="11">
        <f t="shared" si="84"/>
        <v>0</v>
      </c>
      <c r="DK26" s="11"/>
      <c r="DL26" s="11"/>
      <c r="DM26" s="11"/>
    </row>
    <row r="27" spans="1:117" outlineLevel="1" x14ac:dyDescent="0.25">
      <c r="A27" t="s">
        <v>137</v>
      </c>
      <c r="B27" t="s">
        <v>172</v>
      </c>
      <c r="C27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27&amp;"]"),0)</f>
        <v>0</v>
      </c>
      <c r="D27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27&amp;"]"),0)</f>
        <v>0</v>
      </c>
      <c r="E27" s="11">
        <f t="shared" si="35"/>
        <v>0</v>
      </c>
      <c r="F27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27&amp;"]"),0)*IF($B$2="Real",1,IF(F$8&lt;6,6/F$8,1)))*(1+G27)</f>
        <v>0</v>
      </c>
      <c r="G27" s="116">
        <v>0</v>
      </c>
      <c r="H27" s="11">
        <f t="shared" si="50"/>
        <v>0</v>
      </c>
      <c r="I27" s="116">
        <v>0</v>
      </c>
      <c r="J27" s="11">
        <f t="shared" si="36"/>
        <v>0</v>
      </c>
      <c r="K27" s="116">
        <v>0</v>
      </c>
      <c r="L27" s="11">
        <f t="shared" si="51"/>
        <v>0</v>
      </c>
      <c r="M27" s="116">
        <v>0</v>
      </c>
      <c r="N27" s="11"/>
      <c r="O27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27&amp;"]"),0)-AA27</f>
        <v>0</v>
      </c>
      <c r="P27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27&amp;"]"),0)-AB27</f>
        <v>0</v>
      </c>
      <c r="Q27" s="11">
        <f t="shared" si="73"/>
        <v>0</v>
      </c>
      <c r="R27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27&amp;"]"),0)*IF($B$2="Real",1,IF(R$8&lt;6,6/R$8,1))-AD27)*(1+S27)</f>
        <v>0</v>
      </c>
      <c r="S27" s="116">
        <v>0</v>
      </c>
      <c r="T27" s="11">
        <f t="shared" si="60"/>
        <v>0</v>
      </c>
      <c r="U27" s="116">
        <v>0</v>
      </c>
      <c r="V27" s="11">
        <f t="shared" si="38"/>
        <v>0</v>
      </c>
      <c r="W27" s="116">
        <v>0</v>
      </c>
      <c r="X27" s="11">
        <f t="shared" si="74"/>
        <v>0</v>
      </c>
      <c r="Y27" s="116">
        <v>0</v>
      </c>
      <c r="Z27" s="11"/>
      <c r="AA27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valor]",base!$AW$5,"[IF].[mes]","[IF].[mes].&amp;["&amp;AA$8&amp;"]","[IF].[ano]","[IF].[ano].&amp;["&amp;AA$7&amp;"]","[IF].[informacion]","[IF].[informacion].&amp;["&amp;AA$9&amp;"]","[IF].[cuenta_ppto]","[IF].[cuenta_ppto].&amp;["&amp;$A27&amp;"]"),0)</f>
        <v>0</v>
      </c>
      <c r="AB27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valor]",base!$AW$5,"[IF].[mes]","[IF].[mes].&amp;["&amp;AB$8&amp;"]","[IF].[ano]","[IF].[ano].&amp;["&amp;AB$7&amp;"]","[IF].[informacion]","[IF].[informacion].&amp;["&amp;AB$9&amp;"]","[IF].[cuenta_ppto]","[IF].[cuenta_ppto].&amp;["&amp;$A27&amp;"]"),0)</f>
        <v>0</v>
      </c>
      <c r="AC27" s="11">
        <f t="shared" si="75"/>
        <v>0</v>
      </c>
      <c r="AD27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27&amp;"]"),0)*IF($B$2="Real",1,IF(AD$8&lt;6,6/AD$8,1)))*(1+S25)</f>
        <v>0</v>
      </c>
      <c r="AE27" s="116">
        <v>0</v>
      </c>
      <c r="AF27" s="11">
        <f t="shared" si="61"/>
        <v>0</v>
      </c>
      <c r="AG27" s="116">
        <v>0</v>
      </c>
      <c r="AH27" s="11">
        <f t="shared" si="41"/>
        <v>0</v>
      </c>
      <c r="AI27" s="116">
        <v>0</v>
      </c>
      <c r="AJ27" s="11">
        <f t="shared" si="76"/>
        <v>0</v>
      </c>
      <c r="AK27" s="116">
        <v>0</v>
      </c>
      <c r="AL27" s="11"/>
      <c r="AM27" s="3">
        <v>0</v>
      </c>
      <c r="AN27" s="3">
        <v>0</v>
      </c>
      <c r="AO27" s="3">
        <v>0</v>
      </c>
      <c r="AP27" s="3">
        <v>0</v>
      </c>
      <c r="AQ27" s="116">
        <v>0</v>
      </c>
      <c r="AR27" s="3">
        <v>0</v>
      </c>
      <c r="AS27" s="116">
        <v>0</v>
      </c>
      <c r="AT27" s="3">
        <v>0</v>
      </c>
      <c r="AU27" s="116">
        <v>0</v>
      </c>
      <c r="AV27" s="3">
        <v>0</v>
      </c>
      <c r="AW27" s="116">
        <v>0</v>
      </c>
      <c r="AX27" s="11"/>
      <c r="AY27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27&amp;"]"),0)</f>
        <v>0</v>
      </c>
      <c r="AZ27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27&amp;"]"),0)</f>
        <v>0</v>
      </c>
      <c r="BA27" s="11">
        <f t="shared" si="77"/>
        <v>0</v>
      </c>
      <c r="BB27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INTERNOS]"),0)*IF($B$2="Real",1,IF(BB$8&lt;6,6/BB$8,1)))*(1+BC27)</f>
        <v>0</v>
      </c>
      <c r="BC27" s="116">
        <v>0</v>
      </c>
      <c r="BD27" s="11">
        <f t="shared" si="52"/>
        <v>0</v>
      </c>
      <c r="BE27" s="116">
        <v>0</v>
      </c>
      <c r="BF27" s="11">
        <f t="shared" si="43"/>
        <v>0</v>
      </c>
      <c r="BG27" s="116">
        <v>0</v>
      </c>
      <c r="BH27" s="11">
        <f t="shared" si="78"/>
        <v>0</v>
      </c>
      <c r="BI27" s="116">
        <v>0</v>
      </c>
      <c r="BJ27" s="11"/>
      <c r="BK27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27&amp;"]"),0)</f>
        <v>0</v>
      </c>
      <c r="BL27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27&amp;"]"),0)</f>
        <v>0</v>
      </c>
      <c r="BM27" s="11">
        <f t="shared" si="79"/>
        <v>0</v>
      </c>
      <c r="BN27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27&amp;"]"),0)*IF($B$2="Real",1,IF(BN$8&lt;6,6/BN$8,1)))*(1+BO27)</f>
        <v>0</v>
      </c>
      <c r="BO27" s="116">
        <v>0</v>
      </c>
      <c r="BP27" s="11">
        <f t="shared" si="54"/>
        <v>0</v>
      </c>
      <c r="BQ27" s="116">
        <v>0</v>
      </c>
      <c r="BR27" s="11">
        <f t="shared" si="45"/>
        <v>0</v>
      </c>
      <c r="BS27" s="116">
        <v>0</v>
      </c>
      <c r="BT27" s="11">
        <f t="shared" si="80"/>
        <v>0</v>
      </c>
      <c r="BU27" s="116">
        <v>0</v>
      </c>
      <c r="BV27" s="11"/>
      <c r="BW27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27&amp;"]"),0)</f>
        <v>0</v>
      </c>
      <c r="BX27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27&amp;"]"),0)</f>
        <v>0</v>
      </c>
      <c r="BY27" s="11">
        <f t="shared" si="81"/>
        <v>0</v>
      </c>
      <c r="BZ27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27&amp;"]"),0)*IF($B$2="Real",1,IF(BZ$8&lt;6,6/BZ$8,1)))*(1+CA27)</f>
        <v>0</v>
      </c>
      <c r="CA27" s="116">
        <v>0</v>
      </c>
      <c r="CB27" s="11">
        <f t="shared" si="56"/>
        <v>0</v>
      </c>
      <c r="CC27" s="116">
        <v>0</v>
      </c>
      <c r="CD27" s="11">
        <f t="shared" si="47"/>
        <v>0</v>
      </c>
      <c r="CE27" s="116">
        <v>0</v>
      </c>
      <c r="CF27" s="11">
        <f t="shared" si="82"/>
        <v>0</v>
      </c>
      <c r="CG27" s="116">
        <v>0</v>
      </c>
      <c r="CH27" s="11"/>
      <c r="CI27" s="11"/>
      <c r="CJ27" s="11"/>
      <c r="CK27" s="11"/>
      <c r="CL27" s="11"/>
      <c r="CM27" s="116"/>
      <c r="CN27" s="11"/>
      <c r="CO27" s="116"/>
      <c r="CP27" s="11"/>
      <c r="CQ27" s="116"/>
      <c r="CR27" s="11"/>
      <c r="CS27" s="116"/>
      <c r="CT27" s="11"/>
      <c r="CU27" s="11"/>
      <c r="CV27" s="11"/>
      <c r="CW27" s="11"/>
      <c r="CX27" s="11"/>
      <c r="CY27" s="116"/>
      <c r="CZ27" s="11"/>
      <c r="DA27" s="116"/>
      <c r="DB27" s="11"/>
      <c r="DC27" s="116"/>
      <c r="DD27" s="11"/>
      <c r="DE27" s="116"/>
      <c r="DF27" s="11"/>
      <c r="DG27" s="11">
        <f t="shared" si="83"/>
        <v>0</v>
      </c>
      <c r="DH27" s="11">
        <f t="shared" si="48"/>
        <v>0</v>
      </c>
      <c r="DI27" s="11">
        <f t="shared" si="84"/>
        <v>0</v>
      </c>
      <c r="DK27" s="11"/>
      <c r="DL27" s="11"/>
      <c r="DM27" s="11"/>
    </row>
    <row r="28" spans="1:117" outlineLevel="1" x14ac:dyDescent="0.25">
      <c r="A28" t="s">
        <v>138</v>
      </c>
      <c r="B28" t="s">
        <v>173</v>
      </c>
      <c r="C28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28&amp;"]"),0)</f>
        <v>0</v>
      </c>
      <c r="D28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28&amp;"]"),0)</f>
        <v>0</v>
      </c>
      <c r="E28" s="11">
        <f t="shared" si="35"/>
        <v>0</v>
      </c>
      <c r="F28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28&amp;"]"),0)*IF($B$2="Real",1,IF(F$8&lt;6,6/F$8,1)))*(1+G28)</f>
        <v>0</v>
      </c>
      <c r="G28" s="116">
        <v>0</v>
      </c>
      <c r="H28" s="11">
        <f t="shared" si="50"/>
        <v>0</v>
      </c>
      <c r="I28" s="116">
        <v>0</v>
      </c>
      <c r="J28" s="11">
        <f t="shared" si="36"/>
        <v>0</v>
      </c>
      <c r="K28" s="116">
        <v>0</v>
      </c>
      <c r="L28" s="11">
        <f t="shared" si="51"/>
        <v>0</v>
      </c>
      <c r="M28" s="116">
        <v>0</v>
      </c>
      <c r="N28" s="11"/>
      <c r="O28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28&amp;"]"),0)-AA28</f>
        <v>0</v>
      </c>
      <c r="P28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28&amp;"]"),0)-AB28</f>
        <v>0</v>
      </c>
      <c r="Q28" s="11">
        <f t="shared" si="73"/>
        <v>0</v>
      </c>
      <c r="R28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28&amp;"]"),0)*IF($B$2="Real",1,IF(R$8&lt;6,6/R$8,1))-AD28)*(1+S28)</f>
        <v>0</v>
      </c>
      <c r="S28" s="116">
        <v>0</v>
      </c>
      <c r="T28" s="11">
        <f t="shared" si="60"/>
        <v>0</v>
      </c>
      <c r="U28" s="116">
        <v>0</v>
      </c>
      <c r="V28" s="11">
        <f t="shared" si="38"/>
        <v>0</v>
      </c>
      <c r="W28" s="116">
        <v>0</v>
      </c>
      <c r="X28" s="11">
        <f t="shared" si="74"/>
        <v>0</v>
      </c>
      <c r="Y28" s="116">
        <v>0</v>
      </c>
      <c r="Z28" s="11"/>
      <c r="AA28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valor]",base!$AW$5,"[IF].[mes]","[IF].[mes].&amp;["&amp;AA$8&amp;"]","[IF].[ano]","[IF].[ano].&amp;["&amp;AA$7&amp;"]","[IF].[informacion]","[IF].[informacion].&amp;["&amp;AA$9&amp;"]","[IF].[cuenta_ppto]","[IF].[cuenta_ppto].&amp;["&amp;$A28&amp;"]"),0)</f>
        <v>0</v>
      </c>
      <c r="AB28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valor]",base!$AW$5,"[IF].[mes]","[IF].[mes].&amp;["&amp;AB$8&amp;"]","[IF].[ano]","[IF].[ano].&amp;["&amp;AB$7&amp;"]","[IF].[informacion]","[IF].[informacion].&amp;["&amp;AB$9&amp;"]","[IF].[cuenta_ppto]","[IF].[cuenta_ppto].&amp;["&amp;$A28&amp;"]"),0)</f>
        <v>0</v>
      </c>
      <c r="AC28" s="11">
        <f t="shared" si="75"/>
        <v>0</v>
      </c>
      <c r="AD28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28&amp;"]"),0)*IF($B$2="Real",1,IF(AD$8&lt;6,6/AD$8,1)))*(1+S26)</f>
        <v>0</v>
      </c>
      <c r="AE28" s="116">
        <v>0</v>
      </c>
      <c r="AF28" s="11">
        <f t="shared" si="61"/>
        <v>0</v>
      </c>
      <c r="AG28" s="116">
        <v>0</v>
      </c>
      <c r="AH28" s="11">
        <f t="shared" si="41"/>
        <v>0</v>
      </c>
      <c r="AI28" s="116">
        <v>0</v>
      </c>
      <c r="AJ28" s="11">
        <f t="shared" si="76"/>
        <v>0</v>
      </c>
      <c r="AK28" s="116">
        <v>0</v>
      </c>
      <c r="AL28" s="11"/>
      <c r="AM28" s="3">
        <v>0</v>
      </c>
      <c r="AN28" s="3">
        <v>0</v>
      </c>
      <c r="AO28" s="3">
        <v>0</v>
      </c>
      <c r="AP28" s="3">
        <v>0</v>
      </c>
      <c r="AQ28" s="116">
        <v>0</v>
      </c>
      <c r="AR28" s="3">
        <v>0</v>
      </c>
      <c r="AS28" s="116">
        <v>0</v>
      </c>
      <c r="AT28" s="3">
        <v>0</v>
      </c>
      <c r="AU28" s="116">
        <v>0</v>
      </c>
      <c r="AV28" s="3">
        <v>0</v>
      </c>
      <c r="AW28" s="116">
        <v>0</v>
      </c>
      <c r="AX28" s="11"/>
      <c r="AY28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28&amp;"]"),0)</f>
        <v>0</v>
      </c>
      <c r="AZ28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28&amp;"]"),0)</f>
        <v>0</v>
      </c>
      <c r="BA28" s="11">
        <f t="shared" si="77"/>
        <v>0</v>
      </c>
      <c r="BB28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INTERNOS]"),0)*IF($B$2="Real",1,IF(BB$8&lt;6,6/BB$8,1)))*(1+BC28)</f>
        <v>0</v>
      </c>
      <c r="BC28" s="116">
        <v>0</v>
      </c>
      <c r="BD28" s="11">
        <f t="shared" si="52"/>
        <v>0</v>
      </c>
      <c r="BE28" s="116">
        <v>0</v>
      </c>
      <c r="BF28" s="11">
        <f t="shared" si="43"/>
        <v>0</v>
      </c>
      <c r="BG28" s="116">
        <v>0</v>
      </c>
      <c r="BH28" s="11">
        <f t="shared" si="78"/>
        <v>0</v>
      </c>
      <c r="BI28" s="116">
        <v>0</v>
      </c>
      <c r="BJ28" s="11"/>
      <c r="BK28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28&amp;"]"),0)</f>
        <v>0</v>
      </c>
      <c r="BL28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28&amp;"]"),0)</f>
        <v>0</v>
      </c>
      <c r="BM28" s="11">
        <f t="shared" si="79"/>
        <v>0</v>
      </c>
      <c r="BN28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28&amp;"]"),0)*IF($B$2="Real",1,IF(BN$8&lt;6,6/BN$8,1)))*(1+BO28)</f>
        <v>0</v>
      </c>
      <c r="BO28" s="116">
        <v>0</v>
      </c>
      <c r="BP28" s="11">
        <f t="shared" si="54"/>
        <v>0</v>
      </c>
      <c r="BQ28" s="116">
        <v>0</v>
      </c>
      <c r="BR28" s="11">
        <f t="shared" si="45"/>
        <v>0</v>
      </c>
      <c r="BS28" s="116">
        <v>0</v>
      </c>
      <c r="BT28" s="11">
        <f t="shared" si="80"/>
        <v>0</v>
      </c>
      <c r="BU28" s="116">
        <v>0</v>
      </c>
      <c r="BV28" s="11"/>
      <c r="BW28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28&amp;"]"),0)</f>
        <v>0</v>
      </c>
      <c r="BX28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28&amp;"]"),0)</f>
        <v>0</v>
      </c>
      <c r="BY28" s="11">
        <f t="shared" si="81"/>
        <v>0</v>
      </c>
      <c r="BZ28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28&amp;"]"),0)*IF($B$2="Real",1,IF(BZ$8&lt;6,6/BZ$8,1)))*(1+CA28)</f>
        <v>0</v>
      </c>
      <c r="CA28" s="116">
        <v>0</v>
      </c>
      <c r="CB28" s="11">
        <f t="shared" si="56"/>
        <v>0</v>
      </c>
      <c r="CC28" s="116">
        <v>0</v>
      </c>
      <c r="CD28" s="11">
        <f t="shared" si="47"/>
        <v>0</v>
      </c>
      <c r="CE28" s="116">
        <v>0</v>
      </c>
      <c r="CF28" s="11">
        <f t="shared" si="82"/>
        <v>0</v>
      </c>
      <c r="CG28" s="116">
        <v>0</v>
      </c>
      <c r="CH28" s="11"/>
      <c r="CI28" s="11"/>
      <c r="CJ28" s="11"/>
      <c r="CK28" s="11"/>
      <c r="CL28" s="11"/>
      <c r="CM28" s="116"/>
      <c r="CN28" s="11"/>
      <c r="CO28" s="116"/>
      <c r="CP28" s="11"/>
      <c r="CQ28" s="116"/>
      <c r="CR28" s="11"/>
      <c r="CS28" s="116"/>
      <c r="CT28" s="11"/>
      <c r="CU28" s="11"/>
      <c r="CV28" s="11"/>
      <c r="CW28" s="11"/>
      <c r="CX28" s="11"/>
      <c r="CY28" s="116"/>
      <c r="CZ28" s="11"/>
      <c r="DA28" s="116"/>
      <c r="DB28" s="11"/>
      <c r="DC28" s="116"/>
      <c r="DD28" s="11"/>
      <c r="DE28" s="116"/>
      <c r="DF28" s="11"/>
      <c r="DG28" s="11">
        <f t="shared" si="83"/>
        <v>0</v>
      </c>
      <c r="DH28" s="11">
        <f t="shared" si="48"/>
        <v>0</v>
      </c>
      <c r="DI28" s="11">
        <f t="shared" si="84"/>
        <v>0</v>
      </c>
      <c r="DK28" s="11"/>
      <c r="DL28" s="11"/>
      <c r="DM28" s="11"/>
    </row>
    <row r="29" spans="1:117" outlineLevel="1" x14ac:dyDescent="0.25">
      <c r="A29" t="s">
        <v>139</v>
      </c>
      <c r="B29" t="s">
        <v>174</v>
      </c>
      <c r="C29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29&amp;"]"),0)</f>
        <v>0</v>
      </c>
      <c r="D29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29&amp;"]"),0)</f>
        <v>0</v>
      </c>
      <c r="E29" s="11">
        <f t="shared" si="35"/>
        <v>0</v>
      </c>
      <c r="F29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29&amp;"]"),0)*IF($B$2="Real",1,IF(F$8&lt;6,6/F$8,1)))*(1+G29)</f>
        <v>0</v>
      </c>
      <c r="G29" s="116">
        <v>0</v>
      </c>
      <c r="H29" s="11">
        <f t="shared" si="50"/>
        <v>0</v>
      </c>
      <c r="I29" s="116">
        <v>0</v>
      </c>
      <c r="J29" s="11">
        <f t="shared" si="36"/>
        <v>0</v>
      </c>
      <c r="K29" s="116">
        <v>0</v>
      </c>
      <c r="L29" s="11">
        <f t="shared" si="51"/>
        <v>0</v>
      </c>
      <c r="M29" s="116">
        <v>0</v>
      </c>
      <c r="N29" s="11"/>
      <c r="O29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29&amp;"]"),0)-AA29</f>
        <v>0</v>
      </c>
      <c r="P29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29&amp;"]"),0)-AB29</f>
        <v>0</v>
      </c>
      <c r="Q29" s="11">
        <f t="shared" si="73"/>
        <v>0</v>
      </c>
      <c r="R29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29&amp;"]"),0)*IF($B$2="Real",1,IF(R$8&lt;6,6/R$8,1))-AD29)*(1+S29)</f>
        <v>0</v>
      </c>
      <c r="S29" s="116">
        <v>0</v>
      </c>
      <c r="T29" s="11">
        <f t="shared" si="60"/>
        <v>0</v>
      </c>
      <c r="U29" s="116">
        <v>0</v>
      </c>
      <c r="V29" s="11">
        <f t="shared" si="38"/>
        <v>0</v>
      </c>
      <c r="W29" s="116">
        <v>0</v>
      </c>
      <c r="X29" s="11">
        <f t="shared" si="74"/>
        <v>0</v>
      </c>
      <c r="Y29" s="116">
        <v>0</v>
      </c>
      <c r="Z29" s="11"/>
      <c r="AA29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valor]",base!$AW$5,"[IF].[mes]","[IF].[mes].&amp;["&amp;AA$8&amp;"]","[IF].[ano]","[IF].[ano].&amp;["&amp;AA$7&amp;"]","[IF].[informacion]","[IF].[informacion].&amp;["&amp;AA$9&amp;"]","[IF].[cuenta_ppto]","[IF].[cuenta_ppto].&amp;["&amp;$A29&amp;"]"),0)</f>
        <v>0</v>
      </c>
      <c r="AB29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valor]",base!$AW$5,"[IF].[mes]","[IF].[mes].&amp;["&amp;AB$8&amp;"]","[IF].[ano]","[IF].[ano].&amp;["&amp;AB$7&amp;"]","[IF].[informacion]","[IF].[informacion].&amp;["&amp;AB$9&amp;"]","[IF].[cuenta_ppto]","[IF].[cuenta_ppto].&amp;["&amp;$A29&amp;"]"),0)</f>
        <v>0</v>
      </c>
      <c r="AC29" s="11">
        <f t="shared" si="75"/>
        <v>0</v>
      </c>
      <c r="AD29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29&amp;"]"),0)*IF($B$2="Real",1,IF(AD$8&lt;6,6/AD$8,1)))*(1+S27)</f>
        <v>0</v>
      </c>
      <c r="AE29" s="116">
        <v>0</v>
      </c>
      <c r="AF29" s="11">
        <f t="shared" si="61"/>
        <v>0</v>
      </c>
      <c r="AG29" s="116">
        <v>0</v>
      </c>
      <c r="AH29" s="11">
        <f t="shared" si="41"/>
        <v>0</v>
      </c>
      <c r="AI29" s="116">
        <v>0</v>
      </c>
      <c r="AJ29" s="11">
        <f t="shared" si="76"/>
        <v>0</v>
      </c>
      <c r="AK29" s="116">
        <v>0</v>
      </c>
      <c r="AL29" s="11"/>
      <c r="AM29" s="3">
        <v>0</v>
      </c>
      <c r="AN29" s="3">
        <v>0</v>
      </c>
      <c r="AO29" s="3">
        <v>0</v>
      </c>
      <c r="AP29" s="3">
        <v>0</v>
      </c>
      <c r="AQ29" s="116">
        <v>0</v>
      </c>
      <c r="AR29" s="3">
        <v>0</v>
      </c>
      <c r="AS29" s="116">
        <v>0</v>
      </c>
      <c r="AT29" s="3">
        <v>0</v>
      </c>
      <c r="AU29" s="116">
        <v>0</v>
      </c>
      <c r="AV29" s="3">
        <v>0</v>
      </c>
      <c r="AW29" s="116">
        <v>0</v>
      </c>
      <c r="AX29" s="11"/>
      <c r="AY29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29&amp;"]"),0)</f>
        <v>0</v>
      </c>
      <c r="AZ29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29&amp;"]"),0)</f>
        <v>0</v>
      </c>
      <c r="BA29" s="11">
        <f t="shared" si="77"/>
        <v>0</v>
      </c>
      <c r="BB29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INTERNOS]"),0)*IF($B$2="Real",1,IF(BB$8&lt;6,6/BB$8,1)))*(1+BC29)</f>
        <v>0</v>
      </c>
      <c r="BC29" s="116">
        <v>0</v>
      </c>
      <c r="BD29" s="11">
        <f t="shared" si="52"/>
        <v>0</v>
      </c>
      <c r="BE29" s="116">
        <v>0</v>
      </c>
      <c r="BF29" s="11">
        <f t="shared" si="43"/>
        <v>0</v>
      </c>
      <c r="BG29" s="116">
        <v>0</v>
      </c>
      <c r="BH29" s="11">
        <f t="shared" si="78"/>
        <v>0</v>
      </c>
      <c r="BI29" s="116">
        <v>0</v>
      </c>
      <c r="BJ29" s="11"/>
      <c r="BK29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29&amp;"]"),0)</f>
        <v>0</v>
      </c>
      <c r="BL29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29&amp;"]"),0)</f>
        <v>0</v>
      </c>
      <c r="BM29" s="11">
        <f t="shared" si="79"/>
        <v>0</v>
      </c>
      <c r="BN29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29&amp;"]"),0)*IF($B$2="Real",1,IF(BN$8&lt;6,6/BN$8,1)))*(1+BO29)</f>
        <v>0</v>
      </c>
      <c r="BO29" s="116">
        <v>0</v>
      </c>
      <c r="BP29" s="11">
        <f t="shared" si="54"/>
        <v>0</v>
      </c>
      <c r="BQ29" s="116">
        <v>0</v>
      </c>
      <c r="BR29" s="11">
        <f t="shared" si="45"/>
        <v>0</v>
      </c>
      <c r="BS29" s="116">
        <v>0</v>
      </c>
      <c r="BT29" s="11">
        <f t="shared" si="80"/>
        <v>0</v>
      </c>
      <c r="BU29" s="116">
        <v>0</v>
      </c>
      <c r="BV29" s="11"/>
      <c r="BW29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29&amp;"]"),0)</f>
        <v>0</v>
      </c>
      <c r="BX29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29&amp;"]"),0)</f>
        <v>0</v>
      </c>
      <c r="BY29" s="11">
        <f t="shared" si="81"/>
        <v>0</v>
      </c>
      <c r="BZ29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29&amp;"]"),0)*IF($B$2="Real",1,IF(BZ$8&lt;6,6/BZ$8,1)))*(1+CA29)</f>
        <v>0</v>
      </c>
      <c r="CA29" s="116">
        <v>0</v>
      </c>
      <c r="CB29" s="11">
        <f t="shared" si="56"/>
        <v>0</v>
      </c>
      <c r="CC29" s="116">
        <v>0</v>
      </c>
      <c r="CD29" s="11">
        <f t="shared" si="47"/>
        <v>0</v>
      </c>
      <c r="CE29" s="116">
        <v>0</v>
      </c>
      <c r="CF29" s="11">
        <f t="shared" si="82"/>
        <v>0</v>
      </c>
      <c r="CG29" s="116">
        <v>0</v>
      </c>
      <c r="CH29" s="11"/>
      <c r="CI29" s="11"/>
      <c r="CJ29" s="11"/>
      <c r="CK29" s="11"/>
      <c r="CL29" s="11"/>
      <c r="CM29" s="116"/>
      <c r="CN29" s="11"/>
      <c r="CO29" s="116"/>
      <c r="CP29" s="11"/>
      <c r="CQ29" s="116"/>
      <c r="CR29" s="11"/>
      <c r="CS29" s="116"/>
      <c r="CT29" s="11"/>
      <c r="CU29" s="11"/>
      <c r="CV29" s="11"/>
      <c r="CW29" s="11"/>
      <c r="CX29" s="11"/>
      <c r="CY29" s="116"/>
      <c r="CZ29" s="11"/>
      <c r="DA29" s="116"/>
      <c r="DB29" s="11"/>
      <c r="DC29" s="116"/>
      <c r="DD29" s="11"/>
      <c r="DE29" s="116"/>
      <c r="DF29" s="11"/>
      <c r="DG29" s="11">
        <f t="shared" si="83"/>
        <v>0</v>
      </c>
      <c r="DH29" s="11">
        <f t="shared" si="48"/>
        <v>0</v>
      </c>
      <c r="DI29" s="11">
        <f t="shared" si="84"/>
        <v>0</v>
      </c>
      <c r="DK29" s="11"/>
      <c r="DL29" s="11"/>
      <c r="DM29" s="11"/>
    </row>
    <row r="30" spans="1:117" outlineLevel="1" x14ac:dyDescent="0.25">
      <c r="A30" t="s">
        <v>140</v>
      </c>
      <c r="B30" t="s">
        <v>175</v>
      </c>
      <c r="C30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30&amp;"]"),0)</f>
        <v>0</v>
      </c>
      <c r="D30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30&amp;"]"),0)</f>
        <v>0</v>
      </c>
      <c r="E30" s="11">
        <f t="shared" si="35"/>
        <v>0</v>
      </c>
      <c r="F30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30&amp;"]"),0)*IF($B$2="Real",1,IF(F$8&lt;6,6/F$8,1)))*(1+G30)</f>
        <v>0</v>
      </c>
      <c r="G30" s="116">
        <v>0</v>
      </c>
      <c r="H30" s="11">
        <f t="shared" si="50"/>
        <v>0</v>
      </c>
      <c r="I30" s="116">
        <v>0</v>
      </c>
      <c r="J30" s="11">
        <f t="shared" si="36"/>
        <v>0</v>
      </c>
      <c r="K30" s="116">
        <v>0</v>
      </c>
      <c r="L30" s="11">
        <f t="shared" si="51"/>
        <v>0</v>
      </c>
      <c r="M30" s="116">
        <v>0</v>
      </c>
      <c r="N30" s="11"/>
      <c r="O30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30&amp;"]"),0)-AA30</f>
        <v>0</v>
      </c>
      <c r="P30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30&amp;"]"),0)-AB30</f>
        <v>0</v>
      </c>
      <c r="Q30" s="11">
        <f t="shared" si="73"/>
        <v>0</v>
      </c>
      <c r="R30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30&amp;"]"),0)*IF($B$2="Real",1,IF(R$8&lt;6,6/R$8,1))-AD30)*(1+S30)</f>
        <v>0</v>
      </c>
      <c r="S30" s="116">
        <v>0</v>
      </c>
      <c r="T30" s="11">
        <f t="shared" si="60"/>
        <v>0</v>
      </c>
      <c r="U30" s="116">
        <v>0</v>
      </c>
      <c r="V30" s="11">
        <f t="shared" si="38"/>
        <v>0</v>
      </c>
      <c r="W30" s="116">
        <v>0</v>
      </c>
      <c r="X30" s="11">
        <f t="shared" si="74"/>
        <v>0</v>
      </c>
      <c r="Y30" s="116">
        <v>0</v>
      </c>
      <c r="Z30" s="11"/>
      <c r="AA30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valor]",base!$AW$5,"[IF].[mes]","[IF].[mes].&amp;["&amp;AA$8&amp;"]","[IF].[ano]","[IF].[ano].&amp;["&amp;AA$7&amp;"]","[IF].[informacion]","[IF].[informacion].&amp;["&amp;AA$9&amp;"]","[IF].[cuenta_ppto]","[IF].[cuenta_ppto].&amp;["&amp;$A30&amp;"]"),0)</f>
        <v>0</v>
      </c>
      <c r="AB30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valor]",base!$AW$5,"[IF].[mes]","[IF].[mes].&amp;["&amp;AB$8&amp;"]","[IF].[ano]","[IF].[ano].&amp;["&amp;AB$7&amp;"]","[IF].[informacion]","[IF].[informacion].&amp;["&amp;AB$9&amp;"]","[IF].[cuenta_ppto]","[IF].[cuenta_ppto].&amp;["&amp;$A30&amp;"]"),0)</f>
        <v>0</v>
      </c>
      <c r="AC30" s="11">
        <f t="shared" si="75"/>
        <v>0</v>
      </c>
      <c r="AD30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30&amp;"]"),0)*IF($B$2="Real",1,IF(AD$8&lt;6,6/AD$8,1)))*(1+S28)</f>
        <v>0</v>
      </c>
      <c r="AE30" s="116">
        <v>0</v>
      </c>
      <c r="AF30" s="11">
        <f t="shared" si="61"/>
        <v>0</v>
      </c>
      <c r="AG30" s="116">
        <v>0</v>
      </c>
      <c r="AH30" s="11">
        <f t="shared" si="41"/>
        <v>0</v>
      </c>
      <c r="AI30" s="116">
        <v>0</v>
      </c>
      <c r="AJ30" s="11">
        <f t="shared" si="76"/>
        <v>0</v>
      </c>
      <c r="AK30" s="116">
        <v>0</v>
      </c>
      <c r="AL30" s="11"/>
      <c r="AM30" s="3">
        <v>0</v>
      </c>
      <c r="AN30" s="3">
        <v>0</v>
      </c>
      <c r="AO30" s="3">
        <v>0</v>
      </c>
      <c r="AP30" s="3">
        <v>0</v>
      </c>
      <c r="AQ30" s="116">
        <v>0</v>
      </c>
      <c r="AR30" s="3">
        <v>0</v>
      </c>
      <c r="AS30" s="116">
        <v>0</v>
      </c>
      <c r="AT30" s="3">
        <v>0</v>
      </c>
      <c r="AU30" s="116">
        <v>0</v>
      </c>
      <c r="AV30" s="3">
        <v>0</v>
      </c>
      <c r="AW30" s="116">
        <v>0</v>
      </c>
      <c r="AX30" s="11"/>
      <c r="AY30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30&amp;"]"),0)</f>
        <v>0</v>
      </c>
      <c r="AZ30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30&amp;"]"),0)</f>
        <v>0</v>
      </c>
      <c r="BA30" s="11">
        <f t="shared" si="77"/>
        <v>0</v>
      </c>
      <c r="BB30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INTERNOS]"),0)*IF($B$2="Real",1,IF(BB$8&lt;6,6/BB$8,1)))*(1+BC30)</f>
        <v>0</v>
      </c>
      <c r="BC30" s="116">
        <v>0</v>
      </c>
      <c r="BD30" s="11">
        <f t="shared" si="52"/>
        <v>0</v>
      </c>
      <c r="BE30" s="116">
        <v>0</v>
      </c>
      <c r="BF30" s="11">
        <f t="shared" si="43"/>
        <v>0</v>
      </c>
      <c r="BG30" s="116">
        <v>0</v>
      </c>
      <c r="BH30" s="11">
        <f t="shared" si="78"/>
        <v>0</v>
      </c>
      <c r="BI30" s="116">
        <v>0</v>
      </c>
      <c r="BJ30" s="11"/>
      <c r="BK30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30&amp;"]"),0)</f>
        <v>0</v>
      </c>
      <c r="BL30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30&amp;"]"),0)</f>
        <v>0</v>
      </c>
      <c r="BM30" s="11">
        <f t="shared" si="79"/>
        <v>0</v>
      </c>
      <c r="BN30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30&amp;"]"),0)*IF($B$2="Real",1,IF(BN$8&lt;6,6/BN$8,1)))*(1+BO30)</f>
        <v>0</v>
      </c>
      <c r="BO30" s="116">
        <v>0</v>
      </c>
      <c r="BP30" s="11">
        <f t="shared" si="54"/>
        <v>0</v>
      </c>
      <c r="BQ30" s="116">
        <v>0</v>
      </c>
      <c r="BR30" s="11">
        <f t="shared" si="45"/>
        <v>0</v>
      </c>
      <c r="BS30" s="116">
        <v>0</v>
      </c>
      <c r="BT30" s="11">
        <f t="shared" si="80"/>
        <v>0</v>
      </c>
      <c r="BU30" s="116">
        <v>0</v>
      </c>
      <c r="BV30" s="11"/>
      <c r="BW30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30&amp;"]"),0)</f>
        <v>0</v>
      </c>
      <c r="BX30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30&amp;"]"),0)</f>
        <v>0</v>
      </c>
      <c r="BY30" s="11">
        <f t="shared" si="81"/>
        <v>0</v>
      </c>
      <c r="BZ30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30&amp;"]"),0)*IF($B$2="Real",1,IF(BZ$8&lt;6,6/BZ$8,1)))*(1+CA30)</f>
        <v>0</v>
      </c>
      <c r="CA30" s="116">
        <v>0</v>
      </c>
      <c r="CB30" s="11">
        <f t="shared" si="56"/>
        <v>0</v>
      </c>
      <c r="CC30" s="116">
        <v>0</v>
      </c>
      <c r="CD30" s="11">
        <f t="shared" si="47"/>
        <v>0</v>
      </c>
      <c r="CE30" s="116">
        <v>0</v>
      </c>
      <c r="CF30" s="11">
        <f t="shared" si="82"/>
        <v>0</v>
      </c>
      <c r="CG30" s="116">
        <v>0</v>
      </c>
      <c r="CH30" s="11"/>
      <c r="CI30" s="11"/>
      <c r="CJ30" s="11"/>
      <c r="CK30" s="11"/>
      <c r="CL30" s="11"/>
      <c r="CM30" s="116"/>
      <c r="CN30" s="11"/>
      <c r="CO30" s="116"/>
      <c r="CP30" s="11"/>
      <c r="CQ30" s="116"/>
      <c r="CR30" s="11"/>
      <c r="CS30" s="116"/>
      <c r="CT30" s="11"/>
      <c r="CU30" s="11"/>
      <c r="CV30" s="11"/>
      <c r="CW30" s="11"/>
      <c r="CX30" s="11"/>
      <c r="CY30" s="116"/>
      <c r="CZ30" s="11"/>
      <c r="DA30" s="116"/>
      <c r="DB30" s="11"/>
      <c r="DC30" s="116"/>
      <c r="DD30" s="11"/>
      <c r="DE30" s="116"/>
      <c r="DF30" s="11"/>
      <c r="DG30" s="11">
        <f t="shared" si="83"/>
        <v>0</v>
      </c>
      <c r="DH30" s="11">
        <f t="shared" si="48"/>
        <v>0</v>
      </c>
      <c r="DI30" s="11">
        <f t="shared" si="84"/>
        <v>0</v>
      </c>
      <c r="DK30" s="11"/>
      <c r="DL30" s="11"/>
      <c r="DM30" s="11"/>
    </row>
    <row r="31" spans="1:117" outlineLevel="1" x14ac:dyDescent="0.25">
      <c r="A31" t="s">
        <v>141</v>
      </c>
      <c r="B31" t="s">
        <v>176</v>
      </c>
      <c r="C31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31&amp;"]"),0)</f>
        <v>0</v>
      </c>
      <c r="D31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31&amp;"]"),0)</f>
        <v>0</v>
      </c>
      <c r="E31" s="11">
        <f t="shared" si="35"/>
        <v>0</v>
      </c>
      <c r="F31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31&amp;"]"),0)*IF($B$2="Real",1,IF(F$8&lt;6,6/F$8,1)))*(1+G31)</f>
        <v>0</v>
      </c>
      <c r="G31" s="116">
        <v>0</v>
      </c>
      <c r="H31" s="11">
        <f t="shared" si="50"/>
        <v>0</v>
      </c>
      <c r="I31" s="116">
        <v>0</v>
      </c>
      <c r="J31" s="11">
        <f t="shared" si="36"/>
        <v>0</v>
      </c>
      <c r="K31" s="116">
        <v>0</v>
      </c>
      <c r="L31" s="11">
        <f t="shared" si="51"/>
        <v>0</v>
      </c>
      <c r="M31" s="116">
        <v>0</v>
      </c>
      <c r="N31" s="11"/>
      <c r="O31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31&amp;"]"),0)-AA31</f>
        <v>0</v>
      </c>
      <c r="P31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31&amp;"]"),0)-AB31</f>
        <v>0</v>
      </c>
      <c r="Q31" s="11">
        <f t="shared" si="73"/>
        <v>0</v>
      </c>
      <c r="R31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31&amp;"]"),0)*IF($B$2="Real",1,IF(R$8&lt;6,6/R$8,1))-AD31)*(1+S31)</f>
        <v>0</v>
      </c>
      <c r="S31" s="116">
        <v>0</v>
      </c>
      <c r="T31" s="11">
        <f t="shared" si="60"/>
        <v>0</v>
      </c>
      <c r="U31" s="116">
        <v>0</v>
      </c>
      <c r="V31" s="11">
        <f t="shared" si="38"/>
        <v>0</v>
      </c>
      <c r="W31" s="116">
        <v>0</v>
      </c>
      <c r="X31" s="11">
        <f t="shared" si="74"/>
        <v>0</v>
      </c>
      <c r="Y31" s="116">
        <v>0</v>
      </c>
      <c r="Z31" s="11"/>
      <c r="AA31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valor]",base!$AW$5,"[IF].[mes]","[IF].[mes].&amp;["&amp;AA$8&amp;"]","[IF].[ano]","[IF].[ano].&amp;["&amp;AA$7&amp;"]","[IF].[informacion]","[IF].[informacion].&amp;["&amp;AA$9&amp;"]","[IF].[cuenta_ppto]","[IF].[cuenta_ppto].&amp;["&amp;$A31&amp;"]"),0)</f>
        <v>0</v>
      </c>
      <c r="AB31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valor]",base!$AW$5,"[IF].[mes]","[IF].[mes].&amp;["&amp;AB$8&amp;"]","[IF].[ano]","[IF].[ano].&amp;["&amp;AB$7&amp;"]","[IF].[informacion]","[IF].[informacion].&amp;["&amp;AB$9&amp;"]","[IF].[cuenta_ppto]","[IF].[cuenta_ppto].&amp;["&amp;$A31&amp;"]"),0)</f>
        <v>0</v>
      </c>
      <c r="AC31" s="11">
        <f t="shared" si="75"/>
        <v>0</v>
      </c>
      <c r="AD31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31&amp;"]"),0)*IF($B$2="Real",1,IF(AD$8&lt;6,6/AD$8,1)))*(1+S29)</f>
        <v>0</v>
      </c>
      <c r="AE31" s="116">
        <v>0</v>
      </c>
      <c r="AF31" s="11">
        <f t="shared" si="61"/>
        <v>0</v>
      </c>
      <c r="AG31" s="116">
        <v>0</v>
      </c>
      <c r="AH31" s="11">
        <f t="shared" si="41"/>
        <v>0</v>
      </c>
      <c r="AI31" s="116">
        <v>0</v>
      </c>
      <c r="AJ31" s="11">
        <f t="shared" si="76"/>
        <v>0</v>
      </c>
      <c r="AK31" s="116">
        <v>0</v>
      </c>
      <c r="AL31" s="11"/>
      <c r="AM31" s="3">
        <v>0</v>
      </c>
      <c r="AN31" s="3">
        <v>0</v>
      </c>
      <c r="AO31" s="3">
        <v>0</v>
      </c>
      <c r="AP31" s="3">
        <v>0</v>
      </c>
      <c r="AQ31" s="116">
        <v>0</v>
      </c>
      <c r="AR31" s="3">
        <v>0</v>
      </c>
      <c r="AS31" s="116">
        <v>0</v>
      </c>
      <c r="AT31" s="3">
        <v>0</v>
      </c>
      <c r="AU31" s="116">
        <v>0</v>
      </c>
      <c r="AV31" s="3">
        <v>0</v>
      </c>
      <c r="AW31" s="116">
        <v>0</v>
      </c>
      <c r="AX31" s="11"/>
      <c r="AY31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31&amp;"]"),0)</f>
        <v>0</v>
      </c>
      <c r="AZ31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31&amp;"]"),0)</f>
        <v>0</v>
      </c>
      <c r="BA31" s="11">
        <f t="shared" si="77"/>
        <v>0</v>
      </c>
      <c r="BB31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INTERNOS]"),0)*IF($B$2="Real",1,IF(BB$8&lt;6,6/BB$8,1)))*(1+BC31)</f>
        <v>0</v>
      </c>
      <c r="BC31" s="116">
        <v>0</v>
      </c>
      <c r="BD31" s="11">
        <f t="shared" si="52"/>
        <v>0</v>
      </c>
      <c r="BE31" s="116">
        <v>0</v>
      </c>
      <c r="BF31" s="11">
        <f t="shared" si="43"/>
        <v>0</v>
      </c>
      <c r="BG31" s="116">
        <v>0</v>
      </c>
      <c r="BH31" s="11">
        <f t="shared" si="78"/>
        <v>0</v>
      </c>
      <c r="BI31" s="116">
        <v>0</v>
      </c>
      <c r="BJ31" s="11"/>
      <c r="BK31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31&amp;"]"),0)</f>
        <v>0</v>
      </c>
      <c r="BL31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31&amp;"]"),0)</f>
        <v>0</v>
      </c>
      <c r="BM31" s="11">
        <f t="shared" si="79"/>
        <v>0</v>
      </c>
      <c r="BN31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31&amp;"]"),0)*IF($B$2="Real",1,IF(BN$8&lt;6,6/BN$8,1)))*(1+BO31)</f>
        <v>0</v>
      </c>
      <c r="BO31" s="116">
        <v>0</v>
      </c>
      <c r="BP31" s="11">
        <f t="shared" si="54"/>
        <v>0</v>
      </c>
      <c r="BQ31" s="116">
        <v>0</v>
      </c>
      <c r="BR31" s="11">
        <f t="shared" si="45"/>
        <v>0</v>
      </c>
      <c r="BS31" s="116">
        <v>0</v>
      </c>
      <c r="BT31" s="11">
        <f t="shared" si="80"/>
        <v>0</v>
      </c>
      <c r="BU31" s="116">
        <v>0</v>
      </c>
      <c r="BV31" s="11"/>
      <c r="BW31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31&amp;"]"),0)</f>
        <v>0</v>
      </c>
      <c r="BX31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31&amp;"]"),0)</f>
        <v>0</v>
      </c>
      <c r="BY31" s="11">
        <f t="shared" si="81"/>
        <v>0</v>
      </c>
      <c r="BZ31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31&amp;"]"),0)*IF($B$2="Real",1,IF(BZ$8&lt;6,6/BZ$8,1)))*(1+CA31)</f>
        <v>0</v>
      </c>
      <c r="CA31" s="116">
        <v>0</v>
      </c>
      <c r="CB31" s="11">
        <f t="shared" si="56"/>
        <v>0</v>
      </c>
      <c r="CC31" s="116">
        <v>0</v>
      </c>
      <c r="CD31" s="11">
        <f t="shared" si="47"/>
        <v>0</v>
      </c>
      <c r="CE31" s="116">
        <v>0</v>
      </c>
      <c r="CF31" s="11">
        <f t="shared" si="82"/>
        <v>0</v>
      </c>
      <c r="CG31" s="116">
        <v>0</v>
      </c>
      <c r="CH31" s="11"/>
      <c r="CI31" s="11"/>
      <c r="CJ31" s="11"/>
      <c r="CK31" s="11"/>
      <c r="CL31" s="11"/>
      <c r="CM31" s="116"/>
      <c r="CN31" s="11"/>
      <c r="CO31" s="116"/>
      <c r="CP31" s="11"/>
      <c r="CQ31" s="116"/>
      <c r="CR31" s="11"/>
      <c r="CS31" s="116"/>
      <c r="CT31" s="11"/>
      <c r="CU31" s="11"/>
      <c r="CV31" s="11"/>
      <c r="CW31" s="11"/>
      <c r="CX31" s="11"/>
      <c r="CY31" s="116"/>
      <c r="CZ31" s="11"/>
      <c r="DA31" s="116"/>
      <c r="DB31" s="11"/>
      <c r="DC31" s="116"/>
      <c r="DD31" s="11"/>
      <c r="DE31" s="116"/>
      <c r="DF31" s="11"/>
      <c r="DG31" s="11">
        <f t="shared" si="83"/>
        <v>0</v>
      </c>
      <c r="DH31" s="11">
        <f t="shared" si="48"/>
        <v>0</v>
      </c>
      <c r="DI31" s="11">
        <f t="shared" si="84"/>
        <v>0</v>
      </c>
      <c r="DK31" s="11"/>
      <c r="DL31" s="11"/>
      <c r="DM31" s="11"/>
    </row>
    <row r="32" spans="1:117" outlineLevel="1" x14ac:dyDescent="0.25">
      <c r="A32" t="s">
        <v>142</v>
      </c>
      <c r="B32" t="s">
        <v>177</v>
      </c>
      <c r="C32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32&amp;"]"),0)</f>
        <v>0</v>
      </c>
      <c r="D32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32&amp;"]"),0)</f>
        <v>0</v>
      </c>
      <c r="E32" s="11">
        <f t="shared" si="35"/>
        <v>0</v>
      </c>
      <c r="F32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32&amp;"]"),0)*IF($B$2="Real",1,IF(F$8&lt;6,6/F$8,1)))*(1+G32)</f>
        <v>0</v>
      </c>
      <c r="G32" s="116">
        <v>0</v>
      </c>
      <c r="H32" s="11">
        <f t="shared" si="50"/>
        <v>0</v>
      </c>
      <c r="I32" s="116">
        <v>0</v>
      </c>
      <c r="J32" s="11">
        <f t="shared" si="36"/>
        <v>0</v>
      </c>
      <c r="K32" s="116">
        <v>0</v>
      </c>
      <c r="L32" s="11">
        <f t="shared" si="51"/>
        <v>0</v>
      </c>
      <c r="M32" s="116">
        <v>0</v>
      </c>
      <c r="N32" s="11"/>
      <c r="O32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32&amp;"]"),0)-AA32</f>
        <v>0</v>
      </c>
      <c r="P32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32&amp;"]"),0)-AB32</f>
        <v>0</v>
      </c>
      <c r="Q32" s="11">
        <f t="shared" si="73"/>
        <v>0</v>
      </c>
      <c r="R32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32&amp;"]"),0)*IF($B$2="Real",1,IF(R$8&lt;6,6/R$8,1))-AD32)*(1+S32)</f>
        <v>0</v>
      </c>
      <c r="S32" s="116">
        <v>0</v>
      </c>
      <c r="T32" s="11">
        <f t="shared" si="60"/>
        <v>0</v>
      </c>
      <c r="U32" s="116">
        <v>0</v>
      </c>
      <c r="V32" s="11">
        <f t="shared" si="38"/>
        <v>0</v>
      </c>
      <c r="W32" s="116">
        <v>0</v>
      </c>
      <c r="X32" s="11">
        <f t="shared" si="74"/>
        <v>0</v>
      </c>
      <c r="Y32" s="116">
        <v>0</v>
      </c>
      <c r="Z32" s="11"/>
      <c r="AA32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valor]",base!$AW$5,"[IF].[mes]","[IF].[mes].&amp;["&amp;AA$8&amp;"]","[IF].[ano]","[IF].[ano].&amp;["&amp;AA$7&amp;"]","[IF].[informacion]","[IF].[informacion].&amp;["&amp;AA$9&amp;"]","[IF].[cuenta_ppto]","[IF].[cuenta_ppto].&amp;["&amp;$A32&amp;"]"),0)</f>
        <v>0</v>
      </c>
      <c r="AB32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valor]",base!$AW$5,"[IF].[mes]","[IF].[mes].&amp;["&amp;AB$8&amp;"]","[IF].[ano]","[IF].[ano].&amp;["&amp;AB$7&amp;"]","[IF].[informacion]","[IF].[informacion].&amp;["&amp;AB$9&amp;"]","[IF].[cuenta_ppto]","[IF].[cuenta_ppto].&amp;["&amp;$A32&amp;"]"),0)</f>
        <v>0</v>
      </c>
      <c r="AC32" s="11">
        <f t="shared" si="75"/>
        <v>0</v>
      </c>
      <c r="AD32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32&amp;"]"),0)*IF($B$2="Real",1,IF(AD$8&lt;6,6/AD$8,1)))*(1+S30)</f>
        <v>0</v>
      </c>
      <c r="AE32" s="116">
        <v>0</v>
      </c>
      <c r="AF32" s="11">
        <f t="shared" si="61"/>
        <v>0</v>
      </c>
      <c r="AG32" s="116">
        <v>0</v>
      </c>
      <c r="AH32" s="11">
        <f t="shared" si="41"/>
        <v>0</v>
      </c>
      <c r="AI32" s="116">
        <v>0</v>
      </c>
      <c r="AJ32" s="11">
        <f t="shared" si="76"/>
        <v>0</v>
      </c>
      <c r="AK32" s="116">
        <v>0</v>
      </c>
      <c r="AL32" s="11"/>
      <c r="AM32" s="3">
        <v>0</v>
      </c>
      <c r="AN32" s="3">
        <v>0</v>
      </c>
      <c r="AO32" s="3">
        <v>0</v>
      </c>
      <c r="AP32" s="3">
        <v>0</v>
      </c>
      <c r="AQ32" s="116">
        <v>0</v>
      </c>
      <c r="AR32" s="3">
        <v>0</v>
      </c>
      <c r="AS32" s="116">
        <v>0</v>
      </c>
      <c r="AT32" s="3">
        <v>0</v>
      </c>
      <c r="AU32" s="116">
        <v>0</v>
      </c>
      <c r="AV32" s="3">
        <v>0</v>
      </c>
      <c r="AW32" s="116">
        <v>0</v>
      </c>
      <c r="AX32" s="11"/>
      <c r="AY32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32&amp;"]"),0)</f>
        <v>0</v>
      </c>
      <c r="AZ32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32&amp;"]"),0)</f>
        <v>0</v>
      </c>
      <c r="BA32" s="11">
        <f t="shared" si="77"/>
        <v>0</v>
      </c>
      <c r="BB32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INTERNOS]"),0)*IF($B$2="Real",1,IF(BB$8&lt;6,6/BB$8,1)))*(1+BC32)</f>
        <v>0</v>
      </c>
      <c r="BC32" s="116">
        <v>0</v>
      </c>
      <c r="BD32" s="11">
        <f t="shared" si="52"/>
        <v>0</v>
      </c>
      <c r="BE32" s="116">
        <v>0</v>
      </c>
      <c r="BF32" s="11">
        <f t="shared" si="43"/>
        <v>0</v>
      </c>
      <c r="BG32" s="116">
        <v>0</v>
      </c>
      <c r="BH32" s="11">
        <f t="shared" si="78"/>
        <v>0</v>
      </c>
      <c r="BI32" s="116">
        <v>0</v>
      </c>
      <c r="BJ32" s="11"/>
      <c r="BK32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32&amp;"]"),0)</f>
        <v>0</v>
      </c>
      <c r="BL32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32&amp;"]"),0)</f>
        <v>0</v>
      </c>
      <c r="BM32" s="11">
        <f t="shared" si="79"/>
        <v>0</v>
      </c>
      <c r="BN32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32&amp;"]"),0)*IF($B$2="Real",1,IF(BN$8&lt;6,6/BN$8,1)))*(1+BO32)</f>
        <v>0</v>
      </c>
      <c r="BO32" s="116">
        <v>0</v>
      </c>
      <c r="BP32" s="11">
        <f t="shared" si="54"/>
        <v>0</v>
      </c>
      <c r="BQ32" s="116">
        <v>0</v>
      </c>
      <c r="BR32" s="11">
        <f t="shared" si="45"/>
        <v>0</v>
      </c>
      <c r="BS32" s="116">
        <v>0</v>
      </c>
      <c r="BT32" s="11">
        <f t="shared" si="80"/>
        <v>0</v>
      </c>
      <c r="BU32" s="116">
        <v>0</v>
      </c>
      <c r="BV32" s="11"/>
      <c r="BW32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32&amp;"]"),0)</f>
        <v>0</v>
      </c>
      <c r="BX32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32&amp;"]"),0)</f>
        <v>0</v>
      </c>
      <c r="BY32" s="11">
        <f t="shared" si="81"/>
        <v>0</v>
      </c>
      <c r="BZ32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32&amp;"]"),0)*IF($B$2="Real",1,IF(BZ$8&lt;6,6/BZ$8,1)))*(1+CA32)</f>
        <v>0</v>
      </c>
      <c r="CA32" s="116">
        <v>0</v>
      </c>
      <c r="CB32" s="11">
        <f t="shared" si="56"/>
        <v>0</v>
      </c>
      <c r="CC32" s="116">
        <v>0</v>
      </c>
      <c r="CD32" s="11">
        <f t="shared" si="47"/>
        <v>0</v>
      </c>
      <c r="CE32" s="116">
        <v>0</v>
      </c>
      <c r="CF32" s="11">
        <f t="shared" si="82"/>
        <v>0</v>
      </c>
      <c r="CG32" s="116">
        <v>0</v>
      </c>
      <c r="CH32" s="11"/>
      <c r="CI32" s="11"/>
      <c r="CJ32" s="11"/>
      <c r="CK32" s="11"/>
      <c r="CL32" s="11"/>
      <c r="CM32" s="116"/>
      <c r="CN32" s="11"/>
      <c r="CO32" s="116"/>
      <c r="CP32" s="11"/>
      <c r="CQ32" s="116"/>
      <c r="CR32" s="11"/>
      <c r="CS32" s="116"/>
      <c r="CT32" s="11"/>
      <c r="CU32" s="11"/>
      <c r="CV32" s="11"/>
      <c r="CW32" s="11"/>
      <c r="CX32" s="11"/>
      <c r="CY32" s="116"/>
      <c r="CZ32" s="11"/>
      <c r="DA32" s="116"/>
      <c r="DB32" s="11"/>
      <c r="DC32" s="116"/>
      <c r="DD32" s="11"/>
      <c r="DE32" s="116"/>
      <c r="DF32" s="11"/>
      <c r="DG32" s="11">
        <f t="shared" si="83"/>
        <v>0</v>
      </c>
      <c r="DH32" s="11">
        <f t="shared" si="48"/>
        <v>0</v>
      </c>
      <c r="DI32" s="11">
        <f t="shared" si="84"/>
        <v>0</v>
      </c>
      <c r="DK32" s="11"/>
      <c r="DL32" s="11"/>
      <c r="DM32" s="11"/>
    </row>
    <row r="33" spans="1:117" outlineLevel="1" x14ac:dyDescent="0.25">
      <c r="A33" t="s">
        <v>143</v>
      </c>
      <c r="B33" t="s">
        <v>178</v>
      </c>
      <c r="C33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33&amp;"]"),0)</f>
        <v>0</v>
      </c>
      <c r="D33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33&amp;"]"),0)</f>
        <v>0</v>
      </c>
      <c r="E33" s="11">
        <f t="shared" si="35"/>
        <v>0</v>
      </c>
      <c r="F33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33&amp;"]"),0)*IF($B$2="Real",1,IF(F$8&lt;6,6/F$8,1)))*(1+G33)</f>
        <v>0</v>
      </c>
      <c r="G33" s="116">
        <v>0</v>
      </c>
      <c r="H33" s="11">
        <f t="shared" si="50"/>
        <v>0</v>
      </c>
      <c r="I33" s="116">
        <v>0</v>
      </c>
      <c r="J33" s="11">
        <f t="shared" si="36"/>
        <v>0</v>
      </c>
      <c r="K33" s="116">
        <v>0</v>
      </c>
      <c r="L33" s="11">
        <f t="shared" si="51"/>
        <v>0</v>
      </c>
      <c r="M33" s="116">
        <v>0</v>
      </c>
      <c r="N33" s="11"/>
      <c r="O33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33&amp;"]"),0)-AA33</f>
        <v>0</v>
      </c>
      <c r="P33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33&amp;"]"),0)-AB33</f>
        <v>0</v>
      </c>
      <c r="Q33" s="11">
        <f t="shared" si="73"/>
        <v>0</v>
      </c>
      <c r="R33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33&amp;"]"),0)*IF($B$2="Real",1,IF(R$8&lt;6,6/R$8,1))-AD33)*(1+S33)</f>
        <v>0</v>
      </c>
      <c r="S33" s="116">
        <v>0</v>
      </c>
      <c r="T33" s="11">
        <f t="shared" si="60"/>
        <v>0</v>
      </c>
      <c r="U33" s="116">
        <v>0</v>
      </c>
      <c r="V33" s="11">
        <f t="shared" si="38"/>
        <v>0</v>
      </c>
      <c r="W33" s="116">
        <v>0</v>
      </c>
      <c r="X33" s="11">
        <f t="shared" si="74"/>
        <v>0</v>
      </c>
      <c r="Y33" s="116">
        <v>0</v>
      </c>
      <c r="Z33" s="11"/>
      <c r="AA33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valor]",base!$AW$5,"[IF].[mes]","[IF].[mes].&amp;["&amp;AA$8&amp;"]","[IF].[ano]","[IF].[ano].&amp;["&amp;AA$7&amp;"]","[IF].[informacion]","[IF].[informacion].&amp;["&amp;AA$9&amp;"]","[IF].[cuenta_ppto]","[IF].[cuenta_ppto].&amp;["&amp;$A33&amp;"]"),0)</f>
        <v>0</v>
      </c>
      <c r="AB33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valor]",base!$AW$5,"[IF].[mes]","[IF].[mes].&amp;["&amp;AB$8&amp;"]","[IF].[ano]","[IF].[ano].&amp;["&amp;AB$7&amp;"]","[IF].[informacion]","[IF].[informacion].&amp;["&amp;AB$9&amp;"]","[IF].[cuenta_ppto]","[IF].[cuenta_ppto].&amp;["&amp;$A33&amp;"]"),0)</f>
        <v>0</v>
      </c>
      <c r="AC33" s="11">
        <f t="shared" si="75"/>
        <v>0</v>
      </c>
      <c r="AD33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33&amp;"]"),0)*IF($B$2="Real",1,IF(AD$8&lt;6,6/AD$8,1)))*(1+S31)</f>
        <v>0</v>
      </c>
      <c r="AE33" s="116">
        <v>0</v>
      </c>
      <c r="AF33" s="11">
        <f t="shared" si="61"/>
        <v>0</v>
      </c>
      <c r="AG33" s="116">
        <v>0</v>
      </c>
      <c r="AH33" s="11">
        <f t="shared" si="41"/>
        <v>0</v>
      </c>
      <c r="AI33" s="116">
        <v>0</v>
      </c>
      <c r="AJ33" s="11">
        <f t="shared" si="76"/>
        <v>0</v>
      </c>
      <c r="AK33" s="116">
        <v>0</v>
      </c>
      <c r="AL33" s="11"/>
      <c r="AM33" s="3">
        <v>0</v>
      </c>
      <c r="AN33" s="3">
        <v>0</v>
      </c>
      <c r="AO33" s="3">
        <v>0</v>
      </c>
      <c r="AP33" s="3">
        <v>0</v>
      </c>
      <c r="AQ33" s="116">
        <v>0</v>
      </c>
      <c r="AR33" s="3">
        <v>0</v>
      </c>
      <c r="AS33" s="116">
        <v>0</v>
      </c>
      <c r="AT33" s="3">
        <v>0</v>
      </c>
      <c r="AU33" s="116">
        <v>0</v>
      </c>
      <c r="AV33" s="3">
        <v>0</v>
      </c>
      <c r="AW33" s="116">
        <v>0</v>
      </c>
      <c r="AX33" s="11"/>
      <c r="AY33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33&amp;"]"),0)</f>
        <v>0</v>
      </c>
      <c r="AZ33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33&amp;"]"),0)</f>
        <v>0</v>
      </c>
      <c r="BA33" s="11">
        <f t="shared" si="77"/>
        <v>0</v>
      </c>
      <c r="BB33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INTERNOS]"),0)*IF($B$2="Real",1,IF(BB$8&lt;6,6/BB$8,1)))*(1+BC33)</f>
        <v>0</v>
      </c>
      <c r="BC33" s="116">
        <v>0</v>
      </c>
      <c r="BD33" s="11">
        <f t="shared" si="52"/>
        <v>0</v>
      </c>
      <c r="BE33" s="116">
        <v>0</v>
      </c>
      <c r="BF33" s="11">
        <f t="shared" si="43"/>
        <v>0</v>
      </c>
      <c r="BG33" s="116">
        <v>0</v>
      </c>
      <c r="BH33" s="11">
        <f t="shared" si="78"/>
        <v>0</v>
      </c>
      <c r="BI33" s="116">
        <v>0</v>
      </c>
      <c r="BJ33" s="11"/>
      <c r="BK33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33&amp;"]"),0)</f>
        <v>0</v>
      </c>
      <c r="BL33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33&amp;"]"),0)</f>
        <v>0</v>
      </c>
      <c r="BM33" s="11">
        <f t="shared" si="79"/>
        <v>0</v>
      </c>
      <c r="BN33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33&amp;"]"),0)*IF($B$2="Real",1,IF(BN$8&lt;6,6/BN$8,1)))*(1+BO33)</f>
        <v>0</v>
      </c>
      <c r="BO33" s="116">
        <v>0</v>
      </c>
      <c r="BP33" s="11">
        <f t="shared" si="54"/>
        <v>0</v>
      </c>
      <c r="BQ33" s="116">
        <v>0</v>
      </c>
      <c r="BR33" s="11">
        <f t="shared" si="45"/>
        <v>0</v>
      </c>
      <c r="BS33" s="116">
        <v>0</v>
      </c>
      <c r="BT33" s="11">
        <f t="shared" si="80"/>
        <v>0</v>
      </c>
      <c r="BU33" s="116">
        <v>0</v>
      </c>
      <c r="BV33" s="11"/>
      <c r="BW33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33&amp;"]"),0)</f>
        <v>0</v>
      </c>
      <c r="BX33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33&amp;"]"),0)</f>
        <v>0</v>
      </c>
      <c r="BY33" s="11">
        <f t="shared" si="81"/>
        <v>0</v>
      </c>
      <c r="BZ33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33&amp;"]"),0)*IF($B$2="Real",1,IF(BZ$8&lt;6,6/BZ$8,1)))*(1+CA33)</f>
        <v>0</v>
      </c>
      <c r="CA33" s="116">
        <v>0</v>
      </c>
      <c r="CB33" s="11">
        <f t="shared" si="56"/>
        <v>0</v>
      </c>
      <c r="CC33" s="116">
        <v>0</v>
      </c>
      <c r="CD33" s="11">
        <f t="shared" si="47"/>
        <v>0</v>
      </c>
      <c r="CE33" s="116">
        <v>0</v>
      </c>
      <c r="CF33" s="11">
        <f t="shared" si="82"/>
        <v>0</v>
      </c>
      <c r="CG33" s="116">
        <v>0</v>
      </c>
      <c r="CH33" s="11"/>
      <c r="CI33" s="11"/>
      <c r="CJ33" s="11"/>
      <c r="CK33" s="11"/>
      <c r="CL33" s="11"/>
      <c r="CM33" s="116"/>
      <c r="CN33" s="11"/>
      <c r="CO33" s="116"/>
      <c r="CP33" s="11"/>
      <c r="CQ33" s="116"/>
      <c r="CR33" s="11"/>
      <c r="CS33" s="116"/>
      <c r="CT33" s="11"/>
      <c r="CU33" s="11"/>
      <c r="CV33" s="11"/>
      <c r="CW33" s="11"/>
      <c r="CX33" s="11"/>
      <c r="CY33" s="116"/>
      <c r="CZ33" s="11"/>
      <c r="DA33" s="116"/>
      <c r="DB33" s="11"/>
      <c r="DC33" s="116"/>
      <c r="DD33" s="11"/>
      <c r="DE33" s="116"/>
      <c r="DF33" s="11"/>
      <c r="DG33" s="11">
        <f t="shared" si="83"/>
        <v>0</v>
      </c>
      <c r="DH33" s="11">
        <f t="shared" si="48"/>
        <v>0</v>
      </c>
      <c r="DI33" s="11">
        <f t="shared" si="84"/>
        <v>0</v>
      </c>
      <c r="DK33" s="11"/>
      <c r="DL33" s="11"/>
      <c r="DM33" s="11"/>
    </row>
    <row r="34" spans="1:117" outlineLevel="1" x14ac:dyDescent="0.25">
      <c r="A34" t="s">
        <v>144</v>
      </c>
      <c r="B34" t="s">
        <v>179</v>
      </c>
      <c r="C34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34&amp;"]"),0)</f>
        <v>0</v>
      </c>
      <c r="D34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34&amp;"]"),0)</f>
        <v>0</v>
      </c>
      <c r="E34" s="11">
        <f t="shared" si="35"/>
        <v>0</v>
      </c>
      <c r="F34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34&amp;"]"),0)*IF($B$2="Real",1,IF(F$8&lt;6,6/F$8,1)))*(1+G34)</f>
        <v>0</v>
      </c>
      <c r="G34" s="116">
        <v>0</v>
      </c>
      <c r="H34" s="11">
        <f t="shared" si="50"/>
        <v>0</v>
      </c>
      <c r="I34" s="116">
        <v>0</v>
      </c>
      <c r="J34" s="11">
        <f t="shared" si="36"/>
        <v>0</v>
      </c>
      <c r="K34" s="116">
        <v>0</v>
      </c>
      <c r="L34" s="11">
        <f t="shared" si="51"/>
        <v>0</v>
      </c>
      <c r="M34" s="116">
        <v>0</v>
      </c>
      <c r="N34" s="11"/>
      <c r="O34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34&amp;"]"),0)-AA34</f>
        <v>0</v>
      </c>
      <c r="P34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34&amp;"]"),0)-AB34</f>
        <v>0</v>
      </c>
      <c r="Q34" s="11">
        <f t="shared" si="73"/>
        <v>0</v>
      </c>
      <c r="R34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34&amp;"]"),0)*IF($B$2="Real",1,IF(R$8&lt;6,6/R$8,1))-AD34)*(1+S34)</f>
        <v>0</v>
      </c>
      <c r="S34" s="116">
        <v>0</v>
      </c>
      <c r="T34" s="11">
        <f t="shared" si="60"/>
        <v>0</v>
      </c>
      <c r="U34" s="116">
        <v>0</v>
      </c>
      <c r="V34" s="11">
        <f t="shared" si="38"/>
        <v>0</v>
      </c>
      <c r="W34" s="116">
        <v>0</v>
      </c>
      <c r="X34" s="11">
        <f t="shared" si="74"/>
        <v>0</v>
      </c>
      <c r="Y34" s="116">
        <v>0</v>
      </c>
      <c r="Z34" s="11"/>
      <c r="AA34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valor]",base!$AW$5,"[IF].[mes]","[IF].[mes].&amp;["&amp;AA$8&amp;"]","[IF].[ano]","[IF].[ano].&amp;["&amp;AA$7&amp;"]","[IF].[informacion]","[IF].[informacion].&amp;["&amp;AA$9&amp;"]","[IF].[cuenta_ppto]","[IF].[cuenta_ppto].&amp;["&amp;$A34&amp;"]"),0)</f>
        <v>0</v>
      </c>
      <c r="AB34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valor]",base!$AW$5,"[IF].[mes]","[IF].[mes].&amp;["&amp;AB$8&amp;"]","[IF].[ano]","[IF].[ano].&amp;["&amp;AB$7&amp;"]","[IF].[informacion]","[IF].[informacion].&amp;["&amp;AB$9&amp;"]","[IF].[cuenta_ppto]","[IF].[cuenta_ppto].&amp;["&amp;$A34&amp;"]"),0)</f>
        <v>0</v>
      </c>
      <c r="AC34" s="11">
        <f t="shared" si="75"/>
        <v>0</v>
      </c>
      <c r="AD34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34&amp;"]"),0)*IF($B$2="Real",1,IF(AD$8&lt;6,6/AD$8,1)))*(1+S32)</f>
        <v>0</v>
      </c>
      <c r="AE34" s="116">
        <v>0</v>
      </c>
      <c r="AF34" s="11">
        <f t="shared" si="61"/>
        <v>0</v>
      </c>
      <c r="AG34" s="116">
        <v>0</v>
      </c>
      <c r="AH34" s="11">
        <f t="shared" si="41"/>
        <v>0</v>
      </c>
      <c r="AI34" s="116">
        <v>0</v>
      </c>
      <c r="AJ34" s="11">
        <f t="shared" si="76"/>
        <v>0</v>
      </c>
      <c r="AK34" s="116">
        <v>0</v>
      </c>
      <c r="AL34" s="11"/>
      <c r="AM34" s="3">
        <v>0</v>
      </c>
      <c r="AN34" s="3">
        <v>0</v>
      </c>
      <c r="AO34" s="3">
        <v>0</v>
      </c>
      <c r="AP34" s="3">
        <v>0</v>
      </c>
      <c r="AQ34" s="116">
        <v>0</v>
      </c>
      <c r="AR34" s="3">
        <v>0</v>
      </c>
      <c r="AS34" s="116">
        <v>0</v>
      </c>
      <c r="AT34" s="3">
        <v>0</v>
      </c>
      <c r="AU34" s="116">
        <v>0</v>
      </c>
      <c r="AV34" s="3">
        <v>0</v>
      </c>
      <c r="AW34" s="116">
        <v>0</v>
      </c>
      <c r="AX34" s="11"/>
      <c r="AY34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34&amp;"]"),0)</f>
        <v>0</v>
      </c>
      <c r="AZ34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34&amp;"]"),0)</f>
        <v>0</v>
      </c>
      <c r="BA34" s="11">
        <f t="shared" si="77"/>
        <v>0</v>
      </c>
      <c r="BB34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INTERNOS]"),0)*IF($B$2="Real",1,IF(BB$8&lt;6,6/BB$8,1)))*(1+BC34)</f>
        <v>0</v>
      </c>
      <c r="BC34" s="116">
        <v>0</v>
      </c>
      <c r="BD34" s="11">
        <f t="shared" si="52"/>
        <v>0</v>
      </c>
      <c r="BE34" s="116">
        <v>0</v>
      </c>
      <c r="BF34" s="11">
        <f t="shared" si="43"/>
        <v>0</v>
      </c>
      <c r="BG34" s="116">
        <v>0</v>
      </c>
      <c r="BH34" s="11">
        <f t="shared" si="78"/>
        <v>0</v>
      </c>
      <c r="BI34" s="116">
        <v>0</v>
      </c>
      <c r="BJ34" s="11"/>
      <c r="BK34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34&amp;"]"),0)</f>
        <v>0</v>
      </c>
      <c r="BL34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34&amp;"]"),0)</f>
        <v>0</v>
      </c>
      <c r="BM34" s="11">
        <f t="shared" si="79"/>
        <v>0</v>
      </c>
      <c r="BN34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34&amp;"]"),0)*IF($B$2="Real",1,IF(BN$8&lt;6,6/BN$8,1)))*(1+BO34)</f>
        <v>0</v>
      </c>
      <c r="BO34" s="116">
        <v>0</v>
      </c>
      <c r="BP34" s="11">
        <f t="shared" si="54"/>
        <v>0</v>
      </c>
      <c r="BQ34" s="116">
        <v>0</v>
      </c>
      <c r="BR34" s="11">
        <f t="shared" si="45"/>
        <v>0</v>
      </c>
      <c r="BS34" s="116">
        <v>0</v>
      </c>
      <c r="BT34" s="11">
        <f t="shared" si="80"/>
        <v>0</v>
      </c>
      <c r="BU34" s="116">
        <v>0</v>
      </c>
      <c r="BV34" s="11"/>
      <c r="BW34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34&amp;"]"),0)</f>
        <v>0</v>
      </c>
      <c r="BX34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34&amp;"]"),0)</f>
        <v>0</v>
      </c>
      <c r="BY34" s="11">
        <f t="shared" si="81"/>
        <v>0</v>
      </c>
      <c r="BZ34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34&amp;"]"),0)*IF($B$2="Real",1,IF(BZ$8&lt;6,6/BZ$8,1)))*(1+CA34)</f>
        <v>0</v>
      </c>
      <c r="CA34" s="116">
        <v>0</v>
      </c>
      <c r="CB34" s="11">
        <f t="shared" si="56"/>
        <v>0</v>
      </c>
      <c r="CC34" s="116">
        <v>0</v>
      </c>
      <c r="CD34" s="11">
        <f t="shared" si="47"/>
        <v>0</v>
      </c>
      <c r="CE34" s="116">
        <v>0</v>
      </c>
      <c r="CF34" s="11">
        <f t="shared" si="82"/>
        <v>0</v>
      </c>
      <c r="CG34" s="116">
        <v>0</v>
      </c>
      <c r="CH34" s="11"/>
      <c r="CI34" s="11"/>
      <c r="CJ34" s="11"/>
      <c r="CK34" s="11"/>
      <c r="CL34" s="11"/>
      <c r="CM34" s="116"/>
      <c r="CN34" s="11"/>
      <c r="CO34" s="116"/>
      <c r="CP34" s="11"/>
      <c r="CQ34" s="116"/>
      <c r="CR34" s="11"/>
      <c r="CS34" s="116"/>
      <c r="CT34" s="11"/>
      <c r="CU34" s="11"/>
      <c r="CV34" s="11"/>
      <c r="CW34" s="11"/>
      <c r="CX34" s="11"/>
      <c r="CY34" s="116"/>
      <c r="CZ34" s="11"/>
      <c r="DA34" s="116"/>
      <c r="DB34" s="11"/>
      <c r="DC34" s="116"/>
      <c r="DD34" s="11"/>
      <c r="DE34" s="116"/>
      <c r="DF34" s="11"/>
      <c r="DG34" s="11">
        <f t="shared" si="83"/>
        <v>0</v>
      </c>
      <c r="DH34" s="11">
        <f t="shared" si="48"/>
        <v>0</v>
      </c>
      <c r="DI34" s="11">
        <f t="shared" si="84"/>
        <v>0</v>
      </c>
      <c r="DK34" s="11"/>
      <c r="DL34" s="11"/>
      <c r="DM34" s="11"/>
    </row>
    <row r="35" spans="1:117" outlineLevel="1" x14ac:dyDescent="0.25">
      <c r="A35" t="s">
        <v>145</v>
      </c>
      <c r="B35" t="s">
        <v>180</v>
      </c>
      <c r="C35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35&amp;"]"),0)</f>
        <v>0</v>
      </c>
      <c r="D35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35&amp;"]"),0)</f>
        <v>0</v>
      </c>
      <c r="E35" s="11">
        <f t="shared" ref="E35:E36" si="85">C35-D35</f>
        <v>0</v>
      </c>
      <c r="F35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35&amp;"]"),0)*IF($B$2="Real",1,IF(F$8&lt;6,6/F$8,1)))*(1+G35)</f>
        <v>0</v>
      </c>
      <c r="G35" s="116">
        <v>0</v>
      </c>
      <c r="H35" s="11">
        <f t="shared" ref="H35:H36" si="86">E35*(1+I35)</f>
        <v>0</v>
      </c>
      <c r="I35" s="116">
        <v>0</v>
      </c>
      <c r="J35" s="11">
        <f t="shared" si="36"/>
        <v>0</v>
      </c>
      <c r="K35" s="116">
        <v>0</v>
      </c>
      <c r="L35" s="11">
        <f t="shared" si="51"/>
        <v>0</v>
      </c>
      <c r="M35" s="116">
        <v>0</v>
      </c>
      <c r="N35" s="11"/>
      <c r="O35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35&amp;"]"),0)-AA35</f>
        <v>0</v>
      </c>
      <c r="P35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35&amp;"]"),0)-AB35</f>
        <v>0</v>
      </c>
      <c r="Q35" s="11">
        <f t="shared" ref="Q35:Q36" si="87">O35-P35</f>
        <v>0</v>
      </c>
      <c r="R35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35&amp;"]"),0)*IF($B$2="Real",1,IF(R$8&lt;6,6/R$8,1))-AD35)*(1+S35)</f>
        <v>0</v>
      </c>
      <c r="S35" s="116">
        <v>0</v>
      </c>
      <c r="T35" s="11">
        <f t="shared" ref="T35:T36" si="88">Q35*(1+U35)</f>
        <v>0</v>
      </c>
      <c r="U35" s="116">
        <v>0</v>
      </c>
      <c r="V35" s="11">
        <f t="shared" si="38"/>
        <v>0</v>
      </c>
      <c r="W35" s="116">
        <v>0</v>
      </c>
      <c r="X35" s="11">
        <f t="shared" si="74"/>
        <v>0</v>
      </c>
      <c r="Y35" s="116">
        <v>0</v>
      </c>
      <c r="Z35" s="11"/>
      <c r="AA35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valor]",base!$AW$5,"[IF].[mes]","[IF].[mes].&amp;["&amp;AA$8&amp;"]","[IF].[ano]","[IF].[ano].&amp;["&amp;AA$7&amp;"]","[IF].[informacion]","[IF].[informacion].&amp;["&amp;AA$9&amp;"]","[IF].[cuenta_ppto]","[IF].[cuenta_ppto].&amp;["&amp;$A35&amp;"]"),0)</f>
        <v>0</v>
      </c>
      <c r="AB35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valor]",base!$AW$5,"[IF].[mes]","[IF].[mes].&amp;["&amp;AB$8&amp;"]","[IF].[ano]","[IF].[ano].&amp;["&amp;AB$7&amp;"]","[IF].[informacion]","[IF].[informacion].&amp;["&amp;AB$9&amp;"]","[IF].[cuenta_ppto]","[IF].[cuenta_ppto].&amp;["&amp;$A35&amp;"]"),0)</f>
        <v>0</v>
      </c>
      <c r="AC35" s="11">
        <f t="shared" ref="AC35:AC36" si="89">AA35-AB35</f>
        <v>0</v>
      </c>
      <c r="AD35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35&amp;"]"),0)*IF($B$2="Real",1,IF(AD$8&lt;6,6/AD$8,1)))*(1+S33)</f>
        <v>0</v>
      </c>
      <c r="AE35" s="116">
        <v>0</v>
      </c>
      <c r="AF35" s="11">
        <f t="shared" ref="AF35:AF36" si="90">AC35*(1+AG35)</f>
        <v>0</v>
      </c>
      <c r="AG35" s="116">
        <v>0</v>
      </c>
      <c r="AH35" s="11">
        <f t="shared" si="41"/>
        <v>0</v>
      </c>
      <c r="AI35" s="116">
        <v>0</v>
      </c>
      <c r="AJ35" s="11">
        <f t="shared" si="76"/>
        <v>0</v>
      </c>
      <c r="AK35" s="116">
        <v>0</v>
      </c>
      <c r="AL35" s="11"/>
      <c r="AM35" s="3">
        <v>0</v>
      </c>
      <c r="AN35" s="3">
        <v>0</v>
      </c>
      <c r="AO35" s="3">
        <v>0</v>
      </c>
      <c r="AP35" s="3">
        <v>0</v>
      </c>
      <c r="AQ35" s="116">
        <v>0</v>
      </c>
      <c r="AR35" s="3">
        <v>0</v>
      </c>
      <c r="AS35" s="116">
        <v>0</v>
      </c>
      <c r="AT35" s="3">
        <v>0</v>
      </c>
      <c r="AU35" s="116">
        <v>0</v>
      </c>
      <c r="AV35" s="3">
        <v>0</v>
      </c>
      <c r="AW35" s="116">
        <v>0</v>
      </c>
      <c r="AX35" s="11"/>
      <c r="AY35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35&amp;"]"),0)</f>
        <v>0</v>
      </c>
      <c r="AZ35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35&amp;"]"),0)</f>
        <v>0</v>
      </c>
      <c r="BA35" s="11">
        <f t="shared" ref="BA35:BA36" si="91">AY35-AZ35</f>
        <v>0</v>
      </c>
      <c r="BB35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INTERNOS]"),0)*IF($B$2="Real",1,IF(BB$8&lt;6,6/BB$8,1)))*(1+BC35)</f>
        <v>0</v>
      </c>
      <c r="BC35" s="116">
        <v>0</v>
      </c>
      <c r="BD35" s="11">
        <f t="shared" ref="BD35:BD36" si="92">BA35*(1+BE35)</f>
        <v>0</v>
      </c>
      <c r="BE35" s="116">
        <v>0</v>
      </c>
      <c r="BF35" s="11">
        <f t="shared" si="43"/>
        <v>0</v>
      </c>
      <c r="BG35" s="116">
        <v>0</v>
      </c>
      <c r="BH35" s="11">
        <f t="shared" si="78"/>
        <v>0</v>
      </c>
      <c r="BI35" s="116">
        <v>0</v>
      </c>
      <c r="BJ35" s="11"/>
      <c r="BK35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35&amp;"]"),0)</f>
        <v>0</v>
      </c>
      <c r="BL35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35&amp;"]"),0)</f>
        <v>0</v>
      </c>
      <c r="BM35" s="11">
        <f t="shared" ref="BM35:BM36" si="93">BK35-BL35</f>
        <v>0</v>
      </c>
      <c r="BN35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35&amp;"]"),0)*IF($B$2="Real",1,IF(BN$8&lt;6,6/BN$8,1)))*(1+BO35)</f>
        <v>0</v>
      </c>
      <c r="BO35" s="116">
        <v>0</v>
      </c>
      <c r="BP35" s="11">
        <f t="shared" ref="BP35:BP36" si="94">BM35*(1+BQ35)</f>
        <v>0</v>
      </c>
      <c r="BQ35" s="116">
        <v>0</v>
      </c>
      <c r="BR35" s="11">
        <f t="shared" si="45"/>
        <v>0</v>
      </c>
      <c r="BS35" s="116">
        <v>0</v>
      </c>
      <c r="BT35" s="11">
        <f t="shared" si="80"/>
        <v>0</v>
      </c>
      <c r="BU35" s="116">
        <v>0</v>
      </c>
      <c r="BV35" s="11"/>
      <c r="BW35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35&amp;"]"),0)</f>
        <v>0</v>
      </c>
      <c r="BX35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35&amp;"]"),0)</f>
        <v>0</v>
      </c>
      <c r="BY35" s="11">
        <f t="shared" ref="BY35:BY36" si="95">BW35-BX35</f>
        <v>0</v>
      </c>
      <c r="BZ35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35&amp;"]"),0)*IF($B$2="Real",1,IF(BZ$8&lt;6,6/BZ$8,1)))*(1+CA35)</f>
        <v>0</v>
      </c>
      <c r="CA35" s="116">
        <v>0</v>
      </c>
      <c r="CB35" s="11">
        <f t="shared" ref="CB35:CB36" si="96">BY35*(1+CC35)</f>
        <v>0</v>
      </c>
      <c r="CC35" s="116">
        <v>0</v>
      </c>
      <c r="CD35" s="11">
        <f t="shared" si="47"/>
        <v>0</v>
      </c>
      <c r="CE35" s="116">
        <v>0</v>
      </c>
      <c r="CF35" s="11">
        <f t="shared" si="82"/>
        <v>0</v>
      </c>
      <c r="CG35" s="116">
        <v>0</v>
      </c>
      <c r="CH35" s="11"/>
      <c r="CI35" s="11"/>
      <c r="CJ35" s="11"/>
      <c r="CK35" s="11"/>
      <c r="CL35" s="11"/>
      <c r="CM35" s="116"/>
      <c r="CN35" s="11"/>
      <c r="CO35" s="116"/>
      <c r="CP35" s="11"/>
      <c r="CQ35" s="116"/>
      <c r="CR35" s="11"/>
      <c r="CS35" s="116"/>
      <c r="CT35" s="11"/>
      <c r="CU35" s="11"/>
      <c r="CV35" s="11"/>
      <c r="CW35" s="11"/>
      <c r="CX35" s="11"/>
      <c r="CY35" s="116"/>
      <c r="CZ35" s="11"/>
      <c r="DA35" s="116"/>
      <c r="DB35" s="11"/>
      <c r="DC35" s="116"/>
      <c r="DD35" s="11"/>
      <c r="DE35" s="116"/>
      <c r="DF35" s="11"/>
      <c r="DG35" s="11">
        <f t="shared" si="83"/>
        <v>0</v>
      </c>
      <c r="DH35" s="11">
        <f t="shared" si="48"/>
        <v>0</v>
      </c>
      <c r="DI35" s="11">
        <f t="shared" si="84"/>
        <v>0</v>
      </c>
      <c r="DJ35" s="3"/>
      <c r="DK35" s="11"/>
      <c r="DL35" s="11"/>
      <c r="DM35" s="11"/>
    </row>
    <row r="36" spans="1:117" outlineLevel="1" x14ac:dyDescent="0.25">
      <c r="A36" t="s">
        <v>359</v>
      </c>
      <c r="B36" t="s">
        <v>361</v>
      </c>
      <c r="C36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36&amp;"]"),0)</f>
        <v>0</v>
      </c>
      <c r="D36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36&amp;"]"),0)</f>
        <v>0</v>
      </c>
      <c r="E36" s="11">
        <f t="shared" si="85"/>
        <v>0</v>
      </c>
      <c r="F36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36&amp;"]"),0)*IF($B$2="Real",1,IF(F$8&lt;6,6/F$8,1)))*(1+G36)</f>
        <v>0</v>
      </c>
      <c r="G36" s="116">
        <v>0</v>
      </c>
      <c r="H36" s="11">
        <f t="shared" si="86"/>
        <v>0</v>
      </c>
      <c r="I36" s="116">
        <v>0</v>
      </c>
      <c r="J36" s="11">
        <f t="shared" si="36"/>
        <v>0</v>
      </c>
      <c r="K36" s="116">
        <v>0</v>
      </c>
      <c r="L36" s="11">
        <f t="shared" si="51"/>
        <v>0</v>
      </c>
      <c r="M36" s="116">
        <v>0</v>
      </c>
      <c r="N36" s="11"/>
      <c r="O36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36&amp;"]"),0)-AA36</f>
        <v>0</v>
      </c>
      <c r="P36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36&amp;"]"),0)-AB36</f>
        <v>0</v>
      </c>
      <c r="Q36" s="11">
        <f t="shared" si="87"/>
        <v>0</v>
      </c>
      <c r="R36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36&amp;"]"),0)*IF($B$2="Real",1,IF(R$8&lt;6,6/R$8,1))-AD36)*(1+S36)</f>
        <v>0</v>
      </c>
      <c r="S36" s="116">
        <v>0</v>
      </c>
      <c r="T36" s="11">
        <f t="shared" si="88"/>
        <v>0</v>
      </c>
      <c r="U36" s="116">
        <v>0</v>
      </c>
      <c r="V36" s="11">
        <f t="shared" si="38"/>
        <v>0</v>
      </c>
      <c r="W36" s="116">
        <v>0</v>
      </c>
      <c r="X36" s="11">
        <f t="shared" si="74"/>
        <v>0</v>
      </c>
      <c r="Y36" s="116">
        <v>0</v>
      </c>
      <c r="Z36" s="11"/>
      <c r="AA36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valor]",base!$AW$5,"[IF].[mes]","[IF].[mes].&amp;["&amp;AA$8&amp;"]","[IF].[ano]","[IF].[ano].&amp;["&amp;AA$7&amp;"]","[IF].[informacion]","[IF].[informacion].&amp;["&amp;AA$9&amp;"]","[IF].[cuenta_ppto]","[IF].[cuenta_ppto].&amp;["&amp;$A36&amp;"]"),0)</f>
        <v>0</v>
      </c>
      <c r="AB36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valor]",base!$AW$5,"[IF].[mes]","[IF].[mes].&amp;["&amp;AB$8&amp;"]","[IF].[ano]","[IF].[ano].&amp;["&amp;AB$7&amp;"]","[IF].[informacion]","[IF].[informacion].&amp;["&amp;AB$9&amp;"]","[IF].[cuenta_ppto]","[IF].[cuenta_ppto].&amp;["&amp;$A36&amp;"]"),0)</f>
        <v>0</v>
      </c>
      <c r="AC36" s="11">
        <f t="shared" si="89"/>
        <v>0</v>
      </c>
      <c r="AD36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36&amp;"]"),0)*IF($B$2="Real",1,IF(AD$8&lt;6,6/AD$8,1)))*(1+S34)</f>
        <v>0</v>
      </c>
      <c r="AE36" s="116">
        <v>0</v>
      </c>
      <c r="AF36" s="11">
        <f t="shared" si="90"/>
        <v>0</v>
      </c>
      <c r="AG36" s="116">
        <v>0</v>
      </c>
      <c r="AH36" s="11">
        <f t="shared" si="41"/>
        <v>0</v>
      </c>
      <c r="AI36" s="116">
        <v>0</v>
      </c>
      <c r="AJ36" s="11">
        <f t="shared" si="76"/>
        <v>0</v>
      </c>
      <c r="AK36" s="116">
        <v>0</v>
      </c>
      <c r="AL36" s="11"/>
      <c r="AM36" s="3">
        <v>0</v>
      </c>
      <c r="AN36" s="3">
        <v>0</v>
      </c>
      <c r="AO36" s="3">
        <v>0</v>
      </c>
      <c r="AP36" s="3">
        <v>0</v>
      </c>
      <c r="AQ36" s="116">
        <v>0</v>
      </c>
      <c r="AR36" s="3">
        <v>0</v>
      </c>
      <c r="AS36" s="116">
        <v>0</v>
      </c>
      <c r="AT36" s="3">
        <v>0</v>
      </c>
      <c r="AU36" s="116">
        <v>0</v>
      </c>
      <c r="AV36" s="3">
        <v>0</v>
      </c>
      <c r="AW36" s="116">
        <v>0</v>
      </c>
      <c r="AX36" s="11"/>
      <c r="AY36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36&amp;"]"),0)</f>
        <v>0</v>
      </c>
      <c r="AZ36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36&amp;"]"),0)</f>
        <v>0</v>
      </c>
      <c r="BA36" s="11">
        <f t="shared" si="91"/>
        <v>0</v>
      </c>
      <c r="BB36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INTERNOS]"),0)*IF($B$2="Real",1,IF(BB$8&lt;6,6/BB$8,1)))*(1+BC36)</f>
        <v>0</v>
      </c>
      <c r="BC36" s="116">
        <v>0</v>
      </c>
      <c r="BD36" s="11">
        <f t="shared" si="92"/>
        <v>0</v>
      </c>
      <c r="BE36" s="116">
        <v>0</v>
      </c>
      <c r="BF36" s="11">
        <f t="shared" si="43"/>
        <v>0</v>
      </c>
      <c r="BG36" s="116">
        <v>0</v>
      </c>
      <c r="BH36" s="11">
        <f t="shared" si="78"/>
        <v>0</v>
      </c>
      <c r="BI36" s="116">
        <v>0</v>
      </c>
      <c r="BJ36" s="11"/>
      <c r="BK36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36&amp;"]"),0)</f>
        <v>0</v>
      </c>
      <c r="BL36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36&amp;"]"),0)</f>
        <v>0</v>
      </c>
      <c r="BM36" s="11">
        <f t="shared" si="93"/>
        <v>0</v>
      </c>
      <c r="BN36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36&amp;"]"),0)*IF($B$2="Real",1,IF(BN$8&lt;6,6/BN$8,1)))*(1+BO36)</f>
        <v>0</v>
      </c>
      <c r="BO36" s="116">
        <v>0</v>
      </c>
      <c r="BP36" s="11">
        <f t="shared" si="94"/>
        <v>0</v>
      </c>
      <c r="BQ36" s="116">
        <v>0</v>
      </c>
      <c r="BR36" s="11">
        <f t="shared" si="45"/>
        <v>0</v>
      </c>
      <c r="BS36" s="116">
        <v>0</v>
      </c>
      <c r="BT36" s="11">
        <f t="shared" si="80"/>
        <v>0</v>
      </c>
      <c r="BU36" s="116">
        <v>0</v>
      </c>
      <c r="BV36" s="11"/>
      <c r="BW36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36&amp;"]"),0)</f>
        <v>0</v>
      </c>
      <c r="BX36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36&amp;"]"),0)</f>
        <v>0</v>
      </c>
      <c r="BY36" s="11">
        <f t="shared" si="95"/>
        <v>0</v>
      </c>
      <c r="BZ36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36&amp;"]"),0)*IF($B$2="Real",1,IF(BZ$8&lt;6,6/BZ$8,1)))*(1+CA36)</f>
        <v>0</v>
      </c>
      <c r="CA36" s="116">
        <v>0</v>
      </c>
      <c r="CB36" s="11">
        <f t="shared" si="96"/>
        <v>0</v>
      </c>
      <c r="CC36" s="116">
        <v>0</v>
      </c>
      <c r="CD36" s="11">
        <f t="shared" si="47"/>
        <v>0</v>
      </c>
      <c r="CE36" s="116">
        <v>0</v>
      </c>
      <c r="CF36" s="11">
        <f t="shared" si="82"/>
        <v>0</v>
      </c>
      <c r="CG36" s="116">
        <v>0</v>
      </c>
      <c r="CH36" s="11"/>
      <c r="CI36" s="11"/>
      <c r="CJ36" s="11"/>
      <c r="CK36" s="11"/>
      <c r="CL36" s="11"/>
      <c r="CM36" s="116"/>
      <c r="CN36" s="11"/>
      <c r="CO36" s="116"/>
      <c r="CP36" s="11"/>
      <c r="CQ36" s="116"/>
      <c r="CR36" s="11"/>
      <c r="CS36" s="116"/>
      <c r="CT36" s="11"/>
      <c r="CU36" s="11"/>
      <c r="CV36" s="11"/>
      <c r="CW36" s="11"/>
      <c r="CX36" s="11"/>
      <c r="CY36" s="116"/>
      <c r="CZ36" s="11"/>
      <c r="DA36" s="116"/>
      <c r="DB36" s="11"/>
      <c r="DC36" s="116"/>
      <c r="DD36" s="11"/>
      <c r="DE36" s="116"/>
      <c r="DF36" s="11"/>
      <c r="DG36" s="11">
        <f t="shared" si="83"/>
        <v>0</v>
      </c>
      <c r="DH36" s="11">
        <f t="shared" si="48"/>
        <v>0</v>
      </c>
      <c r="DI36" s="11">
        <f t="shared" si="84"/>
        <v>0</v>
      </c>
      <c r="DK36" s="11"/>
      <c r="DL36" s="11"/>
      <c r="DM36" s="11"/>
    </row>
    <row r="37" spans="1:117" outlineLevel="1" x14ac:dyDescent="0.25">
      <c r="A37" t="s">
        <v>360</v>
      </c>
      <c r="B37" t="s">
        <v>362</v>
      </c>
      <c r="C37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37&amp;"]"),0)</f>
        <v>0</v>
      </c>
      <c r="D37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37&amp;"]"),0)</f>
        <v>0</v>
      </c>
      <c r="E37" s="11">
        <f t="shared" si="35"/>
        <v>0</v>
      </c>
      <c r="F37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37&amp;"]"),0)*IF($B$2="Real",1,IF(F$8&lt;6,6/F$8,1)))*(1+G37)</f>
        <v>0</v>
      </c>
      <c r="G37" s="116">
        <v>0</v>
      </c>
      <c r="H37" s="11">
        <f t="shared" si="50"/>
        <v>0</v>
      </c>
      <c r="I37" s="116">
        <v>0</v>
      </c>
      <c r="J37" s="11">
        <f t="shared" si="36"/>
        <v>0</v>
      </c>
      <c r="K37" s="116">
        <v>0</v>
      </c>
      <c r="L37" s="11">
        <f t="shared" si="51"/>
        <v>0</v>
      </c>
      <c r="M37" s="116">
        <v>0</v>
      </c>
      <c r="N37" s="11"/>
      <c r="O37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37&amp;"]"),0)-AA37</f>
        <v>0</v>
      </c>
      <c r="P37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37&amp;"]"),0)-AB37</f>
        <v>0</v>
      </c>
      <c r="Q37" s="11">
        <f t="shared" si="73"/>
        <v>0</v>
      </c>
      <c r="R37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37&amp;"]"),0)*IF($B$2="Real",1,IF(R$8&lt;6,6/R$8,1))-AD37)*(1+S37)</f>
        <v>0</v>
      </c>
      <c r="S37" s="116">
        <v>0</v>
      </c>
      <c r="T37" s="11">
        <f t="shared" si="60"/>
        <v>0</v>
      </c>
      <c r="U37" s="116">
        <v>0</v>
      </c>
      <c r="V37" s="11">
        <f t="shared" si="38"/>
        <v>0</v>
      </c>
      <c r="W37" s="116">
        <v>0</v>
      </c>
      <c r="X37" s="11">
        <f t="shared" si="74"/>
        <v>0</v>
      </c>
      <c r="Y37" s="116">
        <v>0</v>
      </c>
      <c r="Z37" s="11"/>
      <c r="AA37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valor]",base!$AW$5,"[IF].[mes]","[IF].[mes].&amp;["&amp;AA$8&amp;"]","[IF].[ano]","[IF].[ano].&amp;["&amp;AA$7&amp;"]","[IF].[informacion]","[IF].[informacion].&amp;["&amp;AA$9&amp;"]","[IF].[cuenta_ppto]","[IF].[cuenta_ppto].&amp;["&amp;$A37&amp;"]"),0)</f>
        <v>0</v>
      </c>
      <c r="AB37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valor]",base!$AW$5,"[IF].[mes]","[IF].[mes].&amp;["&amp;AB$8&amp;"]","[IF].[ano]","[IF].[ano].&amp;["&amp;AB$7&amp;"]","[IF].[informacion]","[IF].[informacion].&amp;["&amp;AB$9&amp;"]","[IF].[cuenta_ppto]","[IF].[cuenta_ppto].&amp;["&amp;$A37&amp;"]"),0)</f>
        <v>0</v>
      </c>
      <c r="AC37" s="11">
        <f t="shared" si="75"/>
        <v>0</v>
      </c>
      <c r="AD37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37&amp;"]"),0)*IF($B$2="Real",1,IF(AD$8&lt;6,6/AD$8,1)))*(1+S35)</f>
        <v>0</v>
      </c>
      <c r="AE37" s="116">
        <v>0</v>
      </c>
      <c r="AF37" s="11">
        <f t="shared" si="61"/>
        <v>0</v>
      </c>
      <c r="AG37" s="116">
        <v>0</v>
      </c>
      <c r="AH37" s="11">
        <f t="shared" si="41"/>
        <v>0</v>
      </c>
      <c r="AI37" s="116">
        <v>0</v>
      </c>
      <c r="AJ37" s="11">
        <f t="shared" si="76"/>
        <v>0</v>
      </c>
      <c r="AK37" s="116">
        <v>0</v>
      </c>
      <c r="AL37" s="11"/>
      <c r="AM37" s="3">
        <v>172.658411</v>
      </c>
      <c r="AN37" s="3">
        <v>86.294673817800003</v>
      </c>
      <c r="AO37" s="3">
        <v>86.363737182199998</v>
      </c>
      <c r="AP37" s="3">
        <v>0</v>
      </c>
      <c r="AQ37" s="116">
        <v>0</v>
      </c>
      <c r="AR37" s="3">
        <v>37.6</v>
      </c>
      <c r="AS37" s="116">
        <v>0</v>
      </c>
      <c r="AT37" s="3">
        <v>0</v>
      </c>
      <c r="AU37" s="116">
        <v>0</v>
      </c>
      <c r="AV37" s="3">
        <v>29.8</v>
      </c>
      <c r="AW37" s="116">
        <v>0</v>
      </c>
      <c r="AX37" s="11"/>
      <c r="AY37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37&amp;"]"),0)</f>
        <v>0</v>
      </c>
      <c r="AZ37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37&amp;"]"),0)</f>
        <v>0</v>
      </c>
      <c r="BA37" s="11">
        <f t="shared" si="77"/>
        <v>0</v>
      </c>
      <c r="BB37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INTERNOS]"),0)*IF($B$2="Real",1,IF(BB$8&lt;6,6/BB$8,1)))*(1+BC37)</f>
        <v>0</v>
      </c>
      <c r="BC37" s="116">
        <v>0</v>
      </c>
      <c r="BD37" s="11">
        <f t="shared" si="52"/>
        <v>0</v>
      </c>
      <c r="BE37" s="116">
        <v>0</v>
      </c>
      <c r="BF37" s="11">
        <f t="shared" si="43"/>
        <v>0</v>
      </c>
      <c r="BG37" s="116">
        <v>0</v>
      </c>
      <c r="BH37" s="11">
        <f t="shared" si="78"/>
        <v>0</v>
      </c>
      <c r="BI37" s="116">
        <v>0</v>
      </c>
      <c r="BJ37" s="11"/>
      <c r="BK37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37&amp;"]"),0)</f>
        <v>0</v>
      </c>
      <c r="BL37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37&amp;"]"),0)</f>
        <v>0</v>
      </c>
      <c r="BM37" s="11">
        <f t="shared" si="79"/>
        <v>0</v>
      </c>
      <c r="BN37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37&amp;"]"),0)*IF($B$2="Real",1,IF(BN$8&lt;6,6/BN$8,1)))*(1+BO37)</f>
        <v>0</v>
      </c>
      <c r="BO37" s="116">
        <v>0</v>
      </c>
      <c r="BP37" s="11">
        <f t="shared" si="54"/>
        <v>0</v>
      </c>
      <c r="BQ37" s="116">
        <v>0</v>
      </c>
      <c r="BR37" s="11">
        <f t="shared" si="45"/>
        <v>0</v>
      </c>
      <c r="BS37" s="116">
        <v>0</v>
      </c>
      <c r="BT37" s="11">
        <f t="shared" si="80"/>
        <v>0</v>
      </c>
      <c r="BU37" s="116">
        <v>0</v>
      </c>
      <c r="BV37" s="11"/>
      <c r="BW37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37&amp;"]"),0)</f>
        <v>0</v>
      </c>
      <c r="BX37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37&amp;"]"),0)</f>
        <v>0</v>
      </c>
      <c r="BY37" s="11">
        <f t="shared" si="81"/>
        <v>0</v>
      </c>
      <c r="BZ37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37&amp;"]"),0)*IF($B$2="Real",1,IF(BZ$8&lt;6,6/BZ$8,1)))*(1+CA37)</f>
        <v>0</v>
      </c>
      <c r="CA37" s="116">
        <v>0</v>
      </c>
      <c r="CB37" s="11">
        <f t="shared" si="56"/>
        <v>0</v>
      </c>
      <c r="CC37" s="116">
        <v>0</v>
      </c>
      <c r="CD37" s="11">
        <f t="shared" si="47"/>
        <v>0</v>
      </c>
      <c r="CE37" s="116">
        <v>0</v>
      </c>
      <c r="CF37" s="11">
        <f t="shared" si="82"/>
        <v>0</v>
      </c>
      <c r="CG37" s="116">
        <v>0</v>
      </c>
      <c r="CH37" s="11"/>
      <c r="CI37" s="11"/>
      <c r="CJ37" s="11"/>
      <c r="CK37" s="11"/>
      <c r="CL37" s="11"/>
      <c r="CM37" s="116"/>
      <c r="CN37" s="11"/>
      <c r="CO37" s="116"/>
      <c r="CP37" s="11"/>
      <c r="CQ37" s="116"/>
      <c r="CR37" s="11"/>
      <c r="CS37" s="116"/>
      <c r="CT37" s="11"/>
      <c r="CU37" s="11"/>
      <c r="CV37" s="11"/>
      <c r="CW37" s="11"/>
      <c r="CX37" s="11"/>
      <c r="CY37" s="116"/>
      <c r="CZ37" s="11"/>
      <c r="DA37" s="116"/>
      <c r="DB37" s="11"/>
      <c r="DC37" s="116"/>
      <c r="DD37" s="11"/>
      <c r="DE37" s="116"/>
      <c r="DF37" s="11"/>
      <c r="DG37" s="11">
        <f t="shared" si="83"/>
        <v>172.658411</v>
      </c>
      <c r="DH37" s="11">
        <f t="shared" si="48"/>
        <v>0</v>
      </c>
      <c r="DI37" s="11">
        <f t="shared" si="84"/>
        <v>29.8</v>
      </c>
      <c r="DK37" s="11">
        <f t="shared" ref="DK37:DM37" si="97">DG37</f>
        <v>172.658411</v>
      </c>
      <c r="DL37" s="11">
        <f t="shared" si="97"/>
        <v>0</v>
      </c>
      <c r="DM37" s="11">
        <f t="shared" si="97"/>
        <v>29.8</v>
      </c>
    </row>
    <row r="38" spans="1:117" x14ac:dyDescent="0.25">
      <c r="B38" t="s">
        <v>100</v>
      </c>
      <c r="C38" s="9">
        <f>IFERROR(GETPIVOTDATA("[Measures].[Suma de valor]",base!$A$3,"[IF].[departamento_jerarquia2]","[IF].[departamento_jerarquia2].&amp;["&amp;C$5&amp;"]","[IF].[grupo_analisis]","[IF].[grupo_analisis].&amp;["&amp;$B38&amp;"]","[IF].[mes]","[IF].[mes].&amp;["&amp;C$8&amp;"]","[IF].[ano]","[IF].[ano].&amp;["&amp;C$7&amp;"]","[IF].[informacion]","[IF].[informacion].&amp;["&amp;C$9&amp;"]"),0)</f>
        <v>0</v>
      </c>
      <c r="D38" s="9">
        <f>IFERROR(GETPIVOTDATA("[Measures].[Suma de valor]",base!$A$3,"[IF].[departamento_jerarquia2]","[IF].[departamento_jerarquia2].&amp;["&amp;D$5&amp;"]","[IF].[grupo_analisis]","[IF].[grupo_analisis].&amp;["&amp;$B38&amp;"]","[IF].[mes]","[IF].[mes].&amp;["&amp;D$8&amp;"]","[IF].[ano]","[IF].[ano].&amp;["&amp;D$7&amp;"]","[IF].[informacion]","[IF].[informacion].&amp;["&amp;D$9&amp;"]"),0)</f>
        <v>0</v>
      </c>
      <c r="E38" s="9">
        <f t="shared" si="35"/>
        <v>0</v>
      </c>
      <c r="F38" s="9">
        <f>(IFERROR(GETPIVOTDATA("[Measures].[Suma de valor]",base!$A$3,"[IF].[departamento_jerarquia2]","[IF].[departamento_jerarquia2].&amp;["&amp;F$5&amp;"]","[IF].[grupo_analisis]","[IF].[grupo_analisis].&amp;["&amp;$B38&amp;"]","[IF].[mes]","[IF].[mes].&amp;["&amp;F$8&amp;"]","[IF].[ano]","[IF].[ano].&amp;["&amp;F$7&amp;"]","[IF].[informacion]","[IF].[informacion].&amp;["&amp;F$9&amp;"]"),0)*IF($B$2="Real",1,IF(F$8&lt;6,6/F$8,1)))*(1+G38)</f>
        <v>0</v>
      </c>
      <c r="G38" s="116">
        <v>0</v>
      </c>
      <c r="H38" s="12">
        <f t="shared" si="50"/>
        <v>0</v>
      </c>
      <c r="I38" s="116">
        <v>0</v>
      </c>
      <c r="J38" s="12">
        <f t="shared" si="36"/>
        <v>0</v>
      </c>
      <c r="K38" s="116">
        <v>0</v>
      </c>
      <c r="L38" s="119">
        <f>J38*(1+M38)-modelo!W8</f>
        <v>0</v>
      </c>
      <c r="M38" s="116">
        <v>0</v>
      </c>
      <c r="N38" s="11"/>
      <c r="O38" s="9">
        <f>IFERROR(GETPIVOTDATA("[Measures].[Suma de valor]",base!$A$3,"[IF].[departamento_jerarquia2]","[IF].[departamento_jerarquia2].&amp;["&amp;O$5&amp;"]","[IF].[grupo_analisis]","[IF].[grupo_analisis].&amp;["&amp;$B38&amp;"]","[IF].[mes]","[IF].[mes].&amp;["&amp;O$8&amp;"]","[IF].[ano]","[IF].[ano].&amp;["&amp;O$7&amp;"]","[IF].[informacion]","[IF].[informacion].&amp;["&amp;O$9&amp;"]"),0)-AA38</f>
        <v>-11.969999999999999</v>
      </c>
      <c r="P38" s="9">
        <f>IFERROR(GETPIVOTDATA("[Measures].[Suma de valor]",base!$A$3,"[IF].[departamento_jerarquia2]","[IF].[departamento_jerarquia2].&amp;["&amp;P$5&amp;"]","[IF].[grupo_analisis]","[IF].[grupo_analisis].&amp;["&amp;$B38&amp;"]","[IF].[mes]","[IF].[mes].&amp;["&amp;P$8&amp;"]","[IF].[ano]","[IF].[ano].&amp;["&amp;P$7&amp;"]","[IF].[informacion]","[IF].[informacion].&amp;["&amp;P$9&amp;"]"),0)-AB38</f>
        <v>-1.7105129999999988</v>
      </c>
      <c r="Q38" s="9">
        <f t="shared" si="73"/>
        <v>-10.259487</v>
      </c>
      <c r="R38" s="9">
        <f>(IFERROR(GETPIVOTDATA("[Measures].[Suma de valor]",base!$A$3,"[IF].[departamento_jerarquia2]","[IF].[departamento_jerarquia2].&amp;["&amp;R$5&amp;"]","[IF].[grupo_analisis]","[IF].[grupo_analisis].&amp;["&amp;$B38&amp;"]","[IF].[mes]","[IF].[mes].&amp;["&amp;R$8&amp;"]","[IF].[ano]","[IF].[ano].&amp;["&amp;R$7&amp;"]","[IF].[informacion]","[IF].[informacion].&amp;["&amp;R$9&amp;"]"),0)*IF($B$2="Real",1,IF(R$8&lt;6,6/R$8,1))-AD38)*(1+S38)</f>
        <v>-2.5077720000000028</v>
      </c>
      <c r="S38" s="116">
        <v>0</v>
      </c>
      <c r="T38" s="12">
        <f t="shared" si="60"/>
        <v>-6.0530973300000008</v>
      </c>
      <c r="U38" s="116">
        <v>-0.41</v>
      </c>
      <c r="V38" s="12">
        <f>R38+T38</f>
        <v>-8.5608693300000027</v>
      </c>
      <c r="W38" s="116">
        <v>0</v>
      </c>
      <c r="X38" s="119">
        <f>V38*(1+Y38)-modelo!W13</f>
        <v>-15.1907709285873</v>
      </c>
      <c r="Y38" s="116">
        <v>0</v>
      </c>
      <c r="Z38" s="11"/>
      <c r="AA38" s="9">
        <f>IFERROR(GETPIVOTDATA("[Measures].[Suma de valor]",base!$AN$5,"[IF].[grupo_analisis]","[IF].[grupo_analisis].&amp;["&amp;$B38&amp;"]","[IF].[mes]","[IF].[mes].&amp;["&amp;AA$8&amp;"]","[IF].[ano]","[IF].[ano].&amp;["&amp;AA$7&amp;"]","[IF].[informacion]","[IF].[informacion].&amp;["&amp;AA$9&amp;"]"),0)</f>
        <v>-106.39579713405999</v>
      </c>
      <c r="AB38" s="9">
        <f>IFERROR(GETPIVOTDATA("[Measures].[Suma de valor]",base!$AN$5,"[IF].[grupo_analisis]","[IF].[grupo_analisis].&amp;["&amp;$B38&amp;"]","[IF].[mes]","[IF].[mes].&amp;["&amp;AB$8&amp;"]","[IF].[ano]","[IF].[ano].&amp;["&amp;AB$7&amp;"]","[IF].[informacion]","[IF].[informacion].&amp;["&amp;AB$9&amp;"]"),0)</f>
        <v>-53.623481755566239</v>
      </c>
      <c r="AC38" s="9">
        <f t="shared" si="75"/>
        <v>-52.772315378493751</v>
      </c>
      <c r="AD38" s="9">
        <f>(IFERROR(GETPIVOTDATA("[Measures].[Suma de valor]",base!$AN$5,"[IF].[grupo_analisis]","[IF].[grupo_analisis].&amp;["&amp;$B38&amp;"]","[IF].[mes]","[IF].[mes].&amp;["&amp;AD$8&amp;"]","[IF].[ano]","[IF].[ano].&amp;["&amp;AD$7&amp;"]","[IF].[informacion]","[IF].[informacion].&amp;["&amp;AD$9&amp;"]"),0)*IF($B$2="Real",1,IF(AD$8&lt;6,6/AD$8,1)))*(1+S38)</f>
        <v>-60.356935199999995</v>
      </c>
      <c r="AE38" s="116">
        <v>0</v>
      </c>
      <c r="AF38" s="12">
        <f t="shared" si="61"/>
        <v>-58.577270070128066</v>
      </c>
      <c r="AG38" s="116">
        <v>0.11</v>
      </c>
      <c r="AH38" s="12">
        <f t="shared" si="41"/>
        <v>-118.93420527012806</v>
      </c>
      <c r="AI38" s="116">
        <v>0</v>
      </c>
      <c r="AJ38" s="119">
        <f>AH38*(1+AK38)-modelo!W18</f>
        <v>-130.32787939169506</v>
      </c>
      <c r="AK38" s="116">
        <v>0</v>
      </c>
      <c r="AL38" s="11"/>
      <c r="AM38" s="9">
        <v>0</v>
      </c>
      <c r="AN38" s="9">
        <v>0</v>
      </c>
      <c r="AO38" s="9">
        <v>0</v>
      </c>
      <c r="AP38" s="9">
        <v>0</v>
      </c>
      <c r="AQ38" s="116">
        <v>0</v>
      </c>
      <c r="AR38" s="12">
        <v>0</v>
      </c>
      <c r="AS38" s="116">
        <v>0</v>
      </c>
      <c r="AT38" s="12">
        <v>0</v>
      </c>
      <c r="AU38" s="116">
        <v>0</v>
      </c>
      <c r="AV38" s="119">
        <v>0</v>
      </c>
      <c r="AW38" s="116">
        <v>0</v>
      </c>
      <c r="AX38" s="11"/>
      <c r="AY38" s="9">
        <f>IFERROR(GETPIVOTDATA("[Measures].[Suma de valor]",base!$A$3,"[IF].[departamento_jerarquia2]","[IF].[departamento_jerarquia2].&amp;["&amp;AY$5&amp;"]","[IF].[grupo_analisis]","[IF].[grupo_analisis].&amp;["&amp;$B38&amp;"]","[IF].[mes]","[IF].[mes].&amp;["&amp;AY$8&amp;"]","[IF].[ano]","[IF].[ano].&amp;["&amp;AY$7&amp;"]","[IF].[informacion]","[IF].[informacion].&amp;["&amp;AY$9&amp;"]"),0)</f>
        <v>0</v>
      </c>
      <c r="AZ38" s="9">
        <f>IFERROR(GETPIVOTDATA("[Measures].[Suma de valor]",base!$A$3,"[IF].[departamento_jerarquia2]","[IF].[departamento_jerarquia2].&amp;["&amp;AZ$5&amp;"]","[IF].[grupo_analisis]","[IF].[grupo_analisis].&amp;["&amp;$B38&amp;"]","[IF].[mes]","[IF].[mes].&amp;["&amp;AZ$8&amp;"]","[IF].[ano]","[IF].[ano].&amp;["&amp;AZ$7&amp;"]","[IF].[informacion]","[IF].[informacion].&amp;["&amp;AZ$9&amp;"]"),0)</f>
        <v>0</v>
      </c>
      <c r="BA38" s="9">
        <f t="shared" si="77"/>
        <v>0</v>
      </c>
      <c r="BB38" s="9">
        <f>(IFERROR(GETPIVOTDATA("[Measures].[Suma de valor]",base!$A$3,"[IF].[departamento_jerarquia2]","[IF].[departamento_jerarquia2].&amp;["&amp;BB$5&amp;"]","[IF].[grupo_analisis]","[IF].[grupo_analisis].&amp;["&amp;$B38&amp;"]","[IF].[mes]","[IF].[mes].&amp;["&amp;BB$8&amp;"]","[IF].[ano]","[IF].[ano].&amp;["&amp;BB$7&amp;"]","[IF].[informacion]","[IF].[informacion].&amp;["&amp;BB$9&amp;"]"),0)*IF($B$2="Real",1,IF(BB$8&lt;6,6/BB$8,1)))*(1+BC38)</f>
        <v>0</v>
      </c>
      <c r="BC38" s="116">
        <v>0</v>
      </c>
      <c r="BD38" s="12">
        <f t="shared" si="52"/>
        <v>0</v>
      </c>
      <c r="BE38" s="116">
        <v>0</v>
      </c>
      <c r="BF38" s="12">
        <f t="shared" si="43"/>
        <v>0</v>
      </c>
      <c r="BG38" s="116">
        <v>0</v>
      </c>
      <c r="BH38" s="119">
        <f t="shared" si="78"/>
        <v>0</v>
      </c>
      <c r="BI38" s="116">
        <v>0</v>
      </c>
      <c r="BJ38" s="11"/>
      <c r="BK38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38&amp;"]"),0)</f>
        <v>0</v>
      </c>
      <c r="BL38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38&amp;"]"),0)</f>
        <v>0</v>
      </c>
      <c r="BM38" s="9">
        <f t="shared" si="79"/>
        <v>0</v>
      </c>
      <c r="BN38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38&amp;"]"),0)*IF($B$2="Real",1,IF(BN$8&lt;6,6/BN$8,1)))*(1+BO38)</f>
        <v>0</v>
      </c>
      <c r="BO38" s="116">
        <v>0</v>
      </c>
      <c r="BP38" s="12">
        <f t="shared" si="54"/>
        <v>0</v>
      </c>
      <c r="BQ38" s="116">
        <v>0</v>
      </c>
      <c r="BR38" s="12">
        <f t="shared" si="45"/>
        <v>0</v>
      </c>
      <c r="BS38" s="116">
        <v>0</v>
      </c>
      <c r="BT38" s="119">
        <f t="shared" si="80"/>
        <v>0</v>
      </c>
      <c r="BU38" s="116">
        <v>0</v>
      </c>
      <c r="BV38" s="11"/>
      <c r="BW38" s="9">
        <f>IFERROR(GETPIVOTDATA("[Measures].[Suma de valor]",base!$A$3,"[IF].[departamento_jerarquia2]","[IF].[departamento_jerarquia2].&amp;["&amp;BW$5&amp;"]","[IF].[grupo_analisis]","[IF].[grupo_analisis].&amp;["&amp;$B38&amp;"]","[IF].[mes]","[IF].[mes].&amp;["&amp;BW$8&amp;"]","[IF].[ano]","[IF].[ano].&amp;["&amp;BW$7&amp;"]","[IF].[informacion]","[IF].[informacion].&amp;["&amp;BW$9&amp;"]"),0)</f>
        <v>0</v>
      </c>
      <c r="BX38" s="9">
        <f>IFERROR(GETPIVOTDATA("[Measures].[Suma de valor]",base!$A$3,"[IF].[departamento_jerarquia2]","[IF].[departamento_jerarquia2].&amp;["&amp;BX$5&amp;"]","[IF].[grupo_analisis]","[IF].[grupo_analisis].&amp;["&amp;$B38&amp;"]","[IF].[mes]","[IF].[mes].&amp;["&amp;BX$8&amp;"]","[IF].[ano]","[IF].[ano].&amp;["&amp;BX$7&amp;"]","[IF].[informacion]","[IF].[informacion].&amp;["&amp;BX$9&amp;"]"),0)</f>
        <v>0</v>
      </c>
      <c r="BY38" s="9">
        <f t="shared" si="81"/>
        <v>0</v>
      </c>
      <c r="BZ38" s="9">
        <f>(IFERROR(GETPIVOTDATA("[Measures].[Suma de valor]",base!$A$3,"[IF].[departamento_jerarquia2]","[IF].[departamento_jerarquia2].&amp;["&amp;BZ$5&amp;"]","[IF].[grupo_analisis]","[IF].[grupo_analisis].&amp;["&amp;$B38&amp;"]","[IF].[mes]","[IF].[mes].&amp;["&amp;BZ$8&amp;"]","[IF].[ano]","[IF].[ano].&amp;["&amp;BZ$7&amp;"]","[IF].[informacion]","[IF].[informacion].&amp;["&amp;BZ$9&amp;"]"),0)*IF($B$2="Real",1,IF(BZ$8&lt;6,6/BZ$8,1)))*(1+CA38)</f>
        <v>-2.3792999999999997</v>
      </c>
      <c r="CA38" s="116">
        <v>0</v>
      </c>
      <c r="CB38" s="12">
        <f t="shared" si="56"/>
        <v>0</v>
      </c>
      <c r="CC38" s="116">
        <v>0</v>
      </c>
      <c r="CD38" s="12">
        <f t="shared" si="47"/>
        <v>-2.3792999999999997</v>
      </c>
      <c r="CE38" s="116">
        <v>0</v>
      </c>
      <c r="CF38" s="119">
        <f t="shared" si="82"/>
        <v>-2.3792999999999997</v>
      </c>
      <c r="CG38" s="116">
        <v>0</v>
      </c>
      <c r="CH38" s="11"/>
      <c r="CI38" s="9"/>
      <c r="CJ38" s="9"/>
      <c r="CK38" s="9"/>
      <c r="CL38" s="9"/>
      <c r="CM38" s="116"/>
      <c r="CN38" s="12"/>
      <c r="CO38" s="116"/>
      <c r="CP38" s="12"/>
      <c r="CQ38" s="116"/>
      <c r="CR38" s="119"/>
      <c r="CS38" s="116"/>
      <c r="CT38" s="11"/>
      <c r="CU38" s="9"/>
      <c r="CV38" s="9"/>
      <c r="CW38" s="9"/>
      <c r="CX38" s="9"/>
      <c r="CY38" s="116"/>
      <c r="CZ38" s="12"/>
      <c r="DA38" s="116"/>
      <c r="DB38" s="12"/>
      <c r="DC38" s="116"/>
      <c r="DD38" s="119"/>
      <c r="DE38" s="116"/>
      <c r="DF38" s="11"/>
      <c r="DG38" s="9">
        <f t="shared" si="83"/>
        <v>-118.36579713405999</v>
      </c>
      <c r="DH38" s="12">
        <f t="shared" si="48"/>
        <v>-129.87437460012805</v>
      </c>
      <c r="DI38" s="119">
        <f t="shared" si="84"/>
        <v>-147.89795032028238</v>
      </c>
      <c r="DK38" s="9">
        <f>DG38</f>
        <v>-118.36579713405999</v>
      </c>
      <c r="DL38" s="12">
        <f>DH38</f>
        <v>-129.87437460012805</v>
      </c>
      <c r="DM38" s="119">
        <f>DI38</f>
        <v>-147.89795032028238</v>
      </c>
    </row>
    <row r="39" spans="1:117" x14ac:dyDescent="0.25">
      <c r="B39" s="14" t="s">
        <v>203</v>
      </c>
      <c r="C39" s="15">
        <f>SUM(C13:C21,C38)</f>
        <v>0</v>
      </c>
      <c r="D39" s="15">
        <f>SUM(D13:D21,D38)</f>
        <v>0</v>
      </c>
      <c r="E39" s="15">
        <f>SUM(E13:E21,E38)</f>
        <v>0</v>
      </c>
      <c r="F39" s="15">
        <f>SUM(F13:F21,F38)</f>
        <v>0</v>
      </c>
      <c r="G39" s="117"/>
      <c r="H39" s="15">
        <f>SUM(H13:H21,H38)</f>
        <v>0</v>
      </c>
      <c r="I39" s="117"/>
      <c r="J39" s="15">
        <f>SUM(J13:J21,J38)</f>
        <v>0</v>
      </c>
      <c r="K39" s="117"/>
      <c r="L39" s="15">
        <f>SUM(L13:L21,L38)</f>
        <v>0</v>
      </c>
      <c r="M39" s="117"/>
      <c r="N39" s="112"/>
      <c r="O39" s="15">
        <f t="shared" ref="O39:DI39" si="98">SUM(O13:O21,O38)</f>
        <v>109.28718150000009</v>
      </c>
      <c r="P39" s="15">
        <f t="shared" ref="P39" si="99">SUM(P13:P21,P38)</f>
        <v>17.266664236350046</v>
      </c>
      <c r="Q39" s="15">
        <f>SUM(Q13:Q21,Q38)</f>
        <v>92.020517263650021</v>
      </c>
      <c r="R39" s="15">
        <f>SUM(R13:R21,R38)</f>
        <v>43.8428088</v>
      </c>
      <c r="S39" s="117"/>
      <c r="T39" s="15">
        <f>SUM(T13:T21,T38)</f>
        <v>33.411870732823516</v>
      </c>
      <c r="U39" s="117"/>
      <c r="V39" s="15">
        <f>SUM(V13:V21,V38)</f>
        <v>77.254679532823516</v>
      </c>
      <c r="W39" s="117"/>
      <c r="X39" s="15">
        <f>SUM(X13:X21,X38)</f>
        <v>134.12963130668598</v>
      </c>
      <c r="Y39" s="117"/>
      <c r="Z39" s="112"/>
      <c r="AA39" s="15">
        <f t="shared" si="98"/>
        <v>957.52182455098011</v>
      </c>
      <c r="AB39" s="15">
        <f t="shared" ref="AB39" si="100">SUM(AB13:AB21,AB38)</f>
        <v>482.45239957369404</v>
      </c>
      <c r="AC39" s="15">
        <f>SUM(AC13:AC21,AC38)</f>
        <v>475.06942497728608</v>
      </c>
      <c r="AD39" s="15">
        <f t="shared" ref="AD39" si="101">SUM(AD13:AD21,AD38)</f>
        <v>583.86445680000008</v>
      </c>
      <c r="AE39" s="117"/>
      <c r="AF39" s="15">
        <f>SUM(AF13:AF21,AF38)</f>
        <v>529.50544564763379</v>
      </c>
      <c r="AG39" s="117"/>
      <c r="AH39" s="15">
        <f>SUM(AH13:AH21,AH38)</f>
        <v>1113.3699024476336</v>
      </c>
      <c r="AI39" s="117"/>
      <c r="AJ39" s="15">
        <f>SUM(AJ13:AJ21,AJ38)</f>
        <v>1161.9185122935276</v>
      </c>
      <c r="AK39" s="117"/>
      <c r="AL39" s="112"/>
      <c r="AM39" s="15">
        <f t="shared" si="98"/>
        <v>353.158411</v>
      </c>
      <c r="AN39" s="15">
        <f t="shared" ref="AN39" si="102">SUM(AN13:AN21,AN38)</f>
        <v>156.04667381780001</v>
      </c>
      <c r="AO39" s="15">
        <f>SUM(AO13:AO21,AO38)</f>
        <v>197.11173718219999</v>
      </c>
      <c r="AP39" s="15">
        <f>SUM(AP13:AP21,AP38)</f>
        <v>24.471</v>
      </c>
      <c r="AQ39" s="117"/>
      <c r="AR39" s="15">
        <f>SUM(AR13:AR21,AR38)</f>
        <v>197.11173718219999</v>
      </c>
      <c r="AS39" s="117"/>
      <c r="AT39" s="15">
        <f>SUM(AT13:AT21,AT38)</f>
        <v>53.144000000000005</v>
      </c>
      <c r="AU39" s="117"/>
      <c r="AV39" s="15">
        <f>SUM(AV13:AV21,AV38)</f>
        <v>205.69900000000001</v>
      </c>
      <c r="AW39" s="117"/>
      <c r="AX39" s="112"/>
      <c r="AY39" s="15">
        <f t="shared" si="98"/>
        <v>0</v>
      </c>
      <c r="AZ39" s="15">
        <f t="shared" ref="AZ39" si="103">SUM(AZ13:AZ21,AZ38)</f>
        <v>0</v>
      </c>
      <c r="BA39" s="15">
        <f>SUM(BA13:BA21,BA38)</f>
        <v>0</v>
      </c>
      <c r="BB39" s="15">
        <f>SUM(BB13:BB21,BB38)</f>
        <v>0</v>
      </c>
      <c r="BC39" s="117"/>
      <c r="BD39" s="15">
        <f>SUM(BD13:BD21,BD38)</f>
        <v>0</v>
      </c>
      <c r="BE39" s="117"/>
      <c r="BF39" s="15">
        <f>SUM(BF13:BF21,BF38)</f>
        <v>0</v>
      </c>
      <c r="BG39" s="117"/>
      <c r="BH39" s="15">
        <f>SUM(BH13:BH21,BH38)</f>
        <v>0</v>
      </c>
      <c r="BI39" s="117"/>
      <c r="BJ39" s="112"/>
      <c r="BK39" s="15">
        <f t="shared" si="98"/>
        <v>43.5</v>
      </c>
      <c r="BL39" s="15">
        <f t="shared" ref="BL39" si="104">SUM(BL13:BL21,BL38)</f>
        <v>24.99945</v>
      </c>
      <c r="BM39" s="15">
        <f>SUM(BM13:BM21,BM38)</f>
        <v>18.50055</v>
      </c>
      <c r="BN39" s="15">
        <f t="shared" ref="BN39" si="105">SUM(BN13:BN21,BN38)</f>
        <v>23.200799999999997</v>
      </c>
      <c r="BO39" s="117"/>
      <c r="BP39" s="15">
        <f>SUM(BP13:BP21,BP38)</f>
        <v>33.300989999999999</v>
      </c>
      <c r="BQ39" s="117"/>
      <c r="BR39" s="15">
        <f>SUM(BR13:BR21,BR38)</f>
        <v>56.50179</v>
      </c>
      <c r="BS39" s="117"/>
      <c r="BT39" s="15">
        <f>SUM(BT13:BT21,BT38)</f>
        <v>59.044370549999996</v>
      </c>
      <c r="BU39" s="117"/>
      <c r="BV39" s="112"/>
      <c r="BW39" s="15">
        <f t="shared" si="98"/>
        <v>1536.743962</v>
      </c>
      <c r="BX39" s="15">
        <f t="shared" ref="BX39" si="106">SUM(BX13:BX21,BX38)</f>
        <v>941.94549111959998</v>
      </c>
      <c r="BY39" s="15">
        <f>SUM(BY13:BY21,BY38)</f>
        <v>594.79847088040003</v>
      </c>
      <c r="BZ39" s="15">
        <f>SUM(BZ13:BZ21,BZ38)</f>
        <v>298.15669987199999</v>
      </c>
      <c r="CA39" s="117"/>
      <c r="CB39" s="15">
        <f>SUM(CB13:CB21,CB38)</f>
        <v>901.65500200759834</v>
      </c>
      <c r="CC39" s="117"/>
      <c r="CD39" s="15">
        <f>SUM(CD13:CD21,CD38)</f>
        <v>1199.8117018795983</v>
      </c>
      <c r="CE39" s="117"/>
      <c r="CF39" s="15">
        <f>SUM(CF13:CF21,CF38)</f>
        <v>1344.2725121239459</v>
      </c>
      <c r="CG39" s="117"/>
      <c r="CH39" s="112"/>
      <c r="CI39" s="15"/>
      <c r="CJ39" s="15"/>
      <c r="CK39" s="15"/>
      <c r="CL39" s="15"/>
      <c r="CM39" s="117"/>
      <c r="CN39" s="15"/>
      <c r="CO39" s="117"/>
      <c r="CP39" s="15"/>
      <c r="CQ39" s="117"/>
      <c r="CR39" s="15"/>
      <c r="CS39" s="117"/>
      <c r="CT39" s="112"/>
      <c r="CU39" s="15"/>
      <c r="CV39" s="15"/>
      <c r="CW39" s="15"/>
      <c r="CX39" s="15"/>
      <c r="CY39" s="117"/>
      <c r="CZ39" s="15"/>
      <c r="DA39" s="117"/>
      <c r="DB39" s="15"/>
      <c r="DC39" s="117"/>
      <c r="DD39" s="15"/>
      <c r="DE39" s="117"/>
      <c r="DF39" s="112"/>
      <c r="DG39" s="15">
        <f t="shared" si="98"/>
        <v>3000.2113790509798</v>
      </c>
      <c r="DH39" s="16">
        <f t="shared" si="98"/>
        <v>2505.332073860056</v>
      </c>
      <c r="DI39" s="121">
        <f t="shared" si="98"/>
        <v>2905.0640262741595</v>
      </c>
      <c r="DK39" s="15">
        <f t="shared" ref="DK39" si="107">SUM(DK13:DK21,DK38)</f>
        <v>2989.7113790509798</v>
      </c>
      <c r="DL39" s="16">
        <f t="shared" ref="DL39:DM39" si="108">SUM(DL13:DL21,DL38)</f>
        <v>2499.3204734600558</v>
      </c>
      <c r="DM39" s="121">
        <f t="shared" si="108"/>
        <v>2891.8024258741598</v>
      </c>
    </row>
    <row r="40" spans="1:117" x14ac:dyDescent="0.25">
      <c r="DG40" s="3">
        <f>+DG35+DG22</f>
        <v>0</v>
      </c>
    </row>
    <row r="41" spans="1:117" x14ac:dyDescent="0.25">
      <c r="B41" t="s">
        <v>106</v>
      </c>
      <c r="C41" s="9">
        <f>IFERROR(GETPIVOTDATA("[Measures].[Suma de valor]",base!$A$3,"[IF].[departamento_jerarquia2]","[IF].[departamento_jerarquia2].&amp;["&amp;C$5&amp;"]","[IF].[grupo_analisis]","[IF].[grupo_analisis].&amp;["&amp;$B41&amp;"]","[IF].[mes]","[IF].[mes].&amp;["&amp;C$8&amp;"]","[IF].[ano]","[IF].[ano].&amp;["&amp;C$7&amp;"]","[IF].[informacion]","[IF].[informacion].&amp;["&amp;C$9&amp;"]"),0)</f>
        <v>0</v>
      </c>
      <c r="D41" s="9">
        <f>IFERROR(GETPIVOTDATA("[Measures].[Suma de valor]",base!$A$3,"[IF].[departamento_jerarquia2]","[IF].[departamento_jerarquia2].&amp;["&amp;D$5&amp;"]","[IF].[grupo_analisis]","[IF].[grupo_analisis].&amp;["&amp;$B41&amp;"]","[IF].[mes]","[IF].[mes].&amp;["&amp;D$8&amp;"]","[IF].[ano]","[IF].[ano].&amp;["&amp;D$7&amp;"]","[IF].[informacion]","[IF].[informacion].&amp;["&amp;D$9&amp;"]"),0)</f>
        <v>0</v>
      </c>
      <c r="E41" s="9">
        <f t="shared" ref="E41:E46" si="109">C41-D41</f>
        <v>0</v>
      </c>
      <c r="F41" s="9">
        <f>(IFERROR(GETPIVOTDATA("[Measures].[Suma de valor]",base!$A$3,"[IF].[departamento_jerarquia2]","[IF].[departamento_jerarquia2].&amp;["&amp;F$5&amp;"]","[IF].[grupo_analisis]","[IF].[grupo_analisis].&amp;["&amp;$B41&amp;"]","[IF].[mes]","[IF].[mes].&amp;["&amp;F$8&amp;"]","[IF].[ano]","[IF].[ano].&amp;["&amp;F$7&amp;"]","[IF].[informacion]","[IF].[informacion].&amp;["&amp;F$9&amp;"]"),0)*IF($B$2="Real",1,IF(F$8&lt;6,6/F$8,1)))*(1+G41)</f>
        <v>0</v>
      </c>
      <c r="G41" s="116">
        <v>0</v>
      </c>
      <c r="H41" s="12">
        <f t="shared" ref="H41:H73" si="110">E41*(1+I41)</f>
        <v>0</v>
      </c>
      <c r="I41" s="116">
        <v>0</v>
      </c>
      <c r="J41" s="12">
        <f t="shared" ref="J41:J73" si="111">F41+H41</f>
        <v>0</v>
      </c>
      <c r="K41" s="116">
        <v>0</v>
      </c>
      <c r="L41" s="119">
        <f t="shared" ref="L41:L46" si="112">J41*(1+M41)</f>
        <v>0</v>
      </c>
      <c r="M41" s="116">
        <v>0</v>
      </c>
      <c r="N41" s="11"/>
      <c r="O41" s="9">
        <f>IFERROR(GETPIVOTDATA("[Measures].[Suma de valor]",base!$A$3,"[IF].[departamento_jerarquia2]","[IF].[departamento_jerarquia2].&amp;["&amp;O$5&amp;"]","[IF].[grupo_analisis]","[IF].[grupo_analisis].&amp;["&amp;$B41&amp;"]","[IF].[mes]","[IF].[mes].&amp;["&amp;O$8&amp;"]","[IF].[ano]","[IF].[ano].&amp;["&amp;O$7&amp;"]","[IF].[informacion]","[IF].[informacion].&amp;["&amp;O$9&amp;"]"),0)-AA41</f>
        <v>15.025800661600002</v>
      </c>
      <c r="P41" s="9">
        <f>IFERROR(GETPIVOTDATA("[Measures].[Suma de valor]",base!$A$3,"[IF].[departamento_jerarquia2]","[IF].[departamento_jerarquia2].&amp;["&amp;P$5&amp;"]","[IF].[grupo_analisis]","[IF].[grupo_analisis].&amp;["&amp;$B41&amp;"]","[IF].[mes]","[IF].[mes].&amp;["&amp;P$8&amp;"]","[IF].[ano]","[IF].[ano].&amp;["&amp;P$7&amp;"]","[IF].[informacion]","[IF].[informacion].&amp;["&amp;P$9&amp;"]"),0)-AB41</f>
        <v>7.5098951706676829</v>
      </c>
      <c r="Q41" s="9">
        <f t="shared" ref="Q41:Q46" si="113">O41-P41</f>
        <v>7.5159054909323189</v>
      </c>
      <c r="R41" s="9">
        <f>(IFERROR(GETPIVOTDATA("[Measures].[Suma de valor]",base!$A$3,"[IF].[departamento_jerarquia2]","[IF].[departamento_jerarquia2].&amp;["&amp;R$5&amp;"]","[IF].[grupo_analisis]","[IF].[grupo_analisis].&amp;["&amp;$B41&amp;"]","[IF].[mes]","[IF].[mes].&amp;["&amp;R$8&amp;"]","[IF].[ano]","[IF].[ano].&amp;["&amp;R$7&amp;"]","[IF].[informacion]","[IF].[informacion].&amp;["&amp;R$9&amp;"]"),0)*IF($B$2="Real",1,IF(R$8&lt;6,6/R$8,1))-AD41)*(1+S41)</f>
        <v>5.8320000000000007</v>
      </c>
      <c r="S41" s="116">
        <v>0</v>
      </c>
      <c r="T41" s="12">
        <f t="shared" ref="T41:T73" si="114">Q41*(1+U41)</f>
        <v>7.5159054909323189</v>
      </c>
      <c r="U41" s="116">
        <v>0</v>
      </c>
      <c r="V41" s="12">
        <v>9.3000000000000007</v>
      </c>
      <c r="W41" s="116">
        <v>0</v>
      </c>
      <c r="X41" s="119">
        <v>5.2</v>
      </c>
      <c r="Y41" s="116">
        <v>0</v>
      </c>
      <c r="Z41" s="11"/>
      <c r="AA41" s="9">
        <f>IFERROR(GETPIVOTDATA("[Measures].[Suma de valor]",base!$AN$5,"[IF].[grupo_analisis]","[IF].[grupo_analisis].&amp;["&amp;$B41&amp;"]","[IF].[mes]","[IF].[mes].&amp;["&amp;AA$8&amp;"]","[IF].[ano]","[IF].[ano].&amp;["&amp;AA$7&amp;"]","[IF].[informacion]","[IF].[informacion].&amp;["&amp;AA$9&amp;"]"),0)</f>
        <v>100.007551861</v>
      </c>
      <c r="AB41" s="9">
        <f>IFERROR(GETPIVOTDATA("[Measures].[Suma de valor]",base!$AN$5,"[IF].[grupo_analisis]","[IF].[grupo_analisis].&amp;["&amp;$B41&amp;"]","[IF].[mes]","[IF].[mes].&amp;["&amp;AB$8&amp;"]","[IF].[ano]","[IF].[ano].&amp;["&amp;AB$7&amp;"]","[IF].[informacion]","[IF].[informacion].&amp;["&amp;AB$9&amp;"]"),0)</f>
        <v>49.4000939857278</v>
      </c>
      <c r="AC41" s="9">
        <f t="shared" ref="AC41:AC46" si="115">AA41-AB41</f>
        <v>50.607457875272196</v>
      </c>
      <c r="AD41" s="9">
        <f>(IFERROR(GETPIVOTDATA("[Measures].[Suma de valor]",base!$AN$5,"[IF].[grupo_analisis]","[IF].[grupo_analisis].&amp;["&amp;$B41&amp;"]","[IF].[mes]","[IF].[mes].&amp;["&amp;AD$8&amp;"]","[IF].[ano]","[IF].[ano].&amp;["&amp;AD$7&amp;"]","[IF].[informacion]","[IF].[informacion].&amp;["&amp;AD$9&amp;"]"),0)*IF($B$2="Real",1,IF(AD$8&lt;6,6/AD$8,1)))*(1+S41)</f>
        <v>24.906899999999997</v>
      </c>
      <c r="AE41" s="116">
        <v>0</v>
      </c>
      <c r="AF41" s="12">
        <f t="shared" ref="AF41:AF73" si="116">AC41*(1+AG41)</f>
        <v>50.607457875272196</v>
      </c>
      <c r="AG41" s="116">
        <v>0</v>
      </c>
      <c r="AH41" s="12">
        <v>73</v>
      </c>
      <c r="AI41" s="116">
        <v>0</v>
      </c>
      <c r="AJ41" s="119">
        <v>71</v>
      </c>
      <c r="AK41" s="116">
        <v>0</v>
      </c>
      <c r="AL41" s="11"/>
      <c r="AM41" s="9">
        <f>IFERROR(GETPIVOTDATA("[Measures].[Suma de valor]",base!$A$3,"[IF].[departamento_jerarquia2]","[IF].[departamento_jerarquia2].&amp;["&amp;AM$5&amp;"]","[IF].[grupo_analisis]","[IF].[grupo_analisis].&amp;["&amp;$B41&amp;"]","[IF].[mes]","[IF].[mes].&amp;["&amp;AM$8&amp;"]","[IF].[ano]","[IF].[ano].&amp;["&amp;AM$7&amp;"]","[IF].[informacion]","[IF].[informacion].&amp;["&amp;AM$9&amp;"]"),0)-BK41</f>
        <v>134.28305639999999</v>
      </c>
      <c r="AN41" s="9">
        <f>IFERROR(GETPIVOTDATA("[Measures].[Suma de valor]",base!$A$3,"[IF].[departamento_jerarquia2]","[IF].[departamento_jerarquia2].&amp;["&amp;AN$5&amp;"]","[IF].[grupo_analisis]","[IF].[grupo_analisis].&amp;["&amp;$B41&amp;"]","[IF].[mes]","[IF].[mes].&amp;["&amp;AN$8&amp;"]","[IF].[ano]","[IF].[ano].&amp;["&amp;AN$7&amp;"]","[IF].[informacion]","[IF].[informacion].&amp;["&amp;AN$9&amp;"]"),0)-BL41</f>
        <v>67.11467158872</v>
      </c>
      <c r="AO41" s="9">
        <f t="shared" ref="AO41:AO46" si="117">AM41-AN41</f>
        <v>67.168384811279992</v>
      </c>
      <c r="AP41" s="9">
        <v>67.837688400000005</v>
      </c>
      <c r="AQ41" s="116">
        <v>0</v>
      </c>
      <c r="AR41" s="12">
        <f t="shared" ref="AR41:AR73" si="118">AO41*(1+AS41)</f>
        <v>67.168384811279992</v>
      </c>
      <c r="AS41" s="116">
        <v>0</v>
      </c>
      <c r="AT41" s="12">
        <f t="shared" ref="AT41:AT73" si="119">AP41+AR41</f>
        <v>135.00607321128001</v>
      </c>
      <c r="AU41" s="116">
        <v>0</v>
      </c>
      <c r="AV41" s="119">
        <f t="shared" ref="AV41:AV46" si="120">AT41*(1+AW41)</f>
        <v>135.00607321128001</v>
      </c>
      <c r="AW41" s="116">
        <v>0</v>
      </c>
      <c r="AX41" s="11"/>
      <c r="AY41" s="9">
        <f>IFERROR(GETPIVOTDATA("[Measures].[Suma de valor]",base!$A$3,"[IF].[departamento_jerarquia2]","[IF].[departamento_jerarquia2].&amp;["&amp;AY$5&amp;"]","[IF].[grupo_analisis]","[IF].[grupo_analisis].&amp;["&amp;$B41&amp;"]","[IF].[mes]","[IF].[mes].&amp;["&amp;AY$8&amp;"]","[IF].[ano]","[IF].[ano].&amp;["&amp;AY$7&amp;"]","[IF].[informacion]","[IF].[informacion].&amp;["&amp;AY$9&amp;"]"),0)</f>
        <v>0</v>
      </c>
      <c r="AZ41" s="9">
        <f>IFERROR(GETPIVOTDATA("[Measures].[Suma de valor]",base!$A$3,"[IF].[departamento_jerarquia2]","[IF].[departamento_jerarquia2].&amp;["&amp;AZ$5&amp;"]","[IF].[grupo_analisis]","[IF].[grupo_analisis].&amp;["&amp;$B41&amp;"]","[IF].[mes]","[IF].[mes].&amp;["&amp;AZ$8&amp;"]","[IF].[ano]","[IF].[ano].&amp;["&amp;AZ$7&amp;"]","[IF].[informacion]","[IF].[informacion].&amp;["&amp;AZ$9&amp;"]"),0)</f>
        <v>0</v>
      </c>
      <c r="BA41" s="9">
        <f t="shared" ref="BA41:BA46" si="121">AY41-AZ41</f>
        <v>0</v>
      </c>
      <c r="BB41" s="9">
        <f>(IFERROR(GETPIVOTDATA("[Measures].[Suma de valor]",base!$A$3,"[IF].[departamento_jerarquia2]","[IF].[departamento_jerarquia2].&amp;["&amp;BB$5&amp;"]","[IF].[grupo_analisis]","[IF].[grupo_analisis].&amp;["&amp;$B41&amp;"]","[IF].[mes]","[IF].[mes].&amp;["&amp;BB$8&amp;"]","[IF].[ano]","[IF].[ano].&amp;["&amp;BB$7&amp;"]","[IF].[informacion]","[IF].[informacion].&amp;["&amp;BB$9&amp;"]"),0)*IF($B$2="Real",1,IF(BB$8&lt;6,6/BB$8,1)))*(1+BC41)</f>
        <v>0</v>
      </c>
      <c r="BC41" s="116">
        <v>0</v>
      </c>
      <c r="BD41" s="12">
        <f t="shared" ref="BD41:BD73" si="122">BA41*(1+BE41)</f>
        <v>0</v>
      </c>
      <c r="BE41" s="116">
        <v>0</v>
      </c>
      <c r="BF41" s="12">
        <f t="shared" ref="BF41:BF73" si="123">BB41+BD41</f>
        <v>0</v>
      </c>
      <c r="BG41" s="116">
        <v>0</v>
      </c>
      <c r="BH41" s="119">
        <f t="shared" ref="BH41:BH46" si="124">BF41*(1+BI41)</f>
        <v>0</v>
      </c>
      <c r="BI41" s="116">
        <v>0</v>
      </c>
      <c r="BJ41" s="11"/>
      <c r="BK41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41&amp;"]"),0)</f>
        <v>0</v>
      </c>
      <c r="BL41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41&amp;"]"),0)</f>
        <v>0</v>
      </c>
      <c r="BM41" s="9">
        <f t="shared" ref="BM41:BM46" si="125">BK41-BL41</f>
        <v>0</v>
      </c>
      <c r="BN41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41&amp;"]"),0)*IF($B$2="Real",1,IF(BN$8&lt;6,6/BN$8,1)))*(1+BO41)</f>
        <v>0</v>
      </c>
      <c r="BO41" s="116">
        <v>0</v>
      </c>
      <c r="BP41" s="12">
        <f t="shared" ref="BP41:BP73" si="126">BM41*(1+BQ41)</f>
        <v>0</v>
      </c>
      <c r="BQ41" s="116">
        <v>0</v>
      </c>
      <c r="BR41" s="12">
        <f t="shared" ref="BR41:BR73" si="127">BN41+BP41</f>
        <v>0</v>
      </c>
      <c r="BS41" s="116">
        <v>0</v>
      </c>
      <c r="BT41" s="119">
        <f t="shared" ref="BT41:BT46" si="128">BR41*(1+BU41)</f>
        <v>0</v>
      </c>
      <c r="BU41" s="116">
        <v>0</v>
      </c>
      <c r="BV41" s="11"/>
      <c r="BW41" s="9">
        <f>IFERROR(GETPIVOTDATA("[Measures].[Suma de valor]",base!$A$3,"[IF].[departamento_jerarquia2]","[IF].[departamento_jerarquia2].&amp;["&amp;BW$5&amp;"]","[IF].[grupo_analisis]","[IF].[grupo_analisis].&amp;["&amp;$B41&amp;"]","[IF].[mes]","[IF].[mes].&amp;["&amp;BW$8&amp;"]","[IF].[ano]","[IF].[ano].&amp;["&amp;BW$7&amp;"]","[IF].[informacion]","[IF].[informacion].&amp;["&amp;BW$9&amp;"]"),0)</f>
        <v>134.34227279999999</v>
      </c>
      <c r="BX41" s="9">
        <f>IFERROR(GETPIVOTDATA("[Measures].[Suma de valor]",base!$A$3,"[IF].[departamento_jerarquia2]","[IF].[departamento_jerarquia2].&amp;["&amp;BX$5&amp;"]","[IF].[grupo_analisis]","[IF].[grupo_analisis].&amp;["&amp;$B41&amp;"]","[IF].[mes]","[IF].[mes].&amp;["&amp;BX$8&amp;"]","[IF].[ano]","[IF].[ano].&amp;["&amp;BX$7&amp;"]","[IF].[informacion]","[IF].[informacion].&amp;["&amp;BX$9&amp;"]"),0)</f>
        <v>67.144267945440006</v>
      </c>
      <c r="BY41" s="9">
        <f t="shared" ref="BY41:BY46" si="129">BW41-BX41</f>
        <v>67.198004854559983</v>
      </c>
      <c r="BZ41" s="9">
        <f>(IFERROR(GETPIVOTDATA("[Measures].[Suma de valor]",base!$A$3,"[IF].[departamento_jerarquia2]","[IF].[departamento_jerarquia2].&amp;["&amp;BZ$5&amp;"]","[IF].[grupo_analisis]","[IF].[grupo_analisis].&amp;["&amp;$B41&amp;"]","[IF].[mes]","[IF].[mes].&amp;["&amp;BZ$8&amp;"]","[IF].[ano]","[IF].[ano].&amp;["&amp;BZ$7&amp;"]","[IF].[informacion]","[IF].[informacion].&amp;["&amp;BZ$9&amp;"]"),0)*IF($B$2="Real",1,IF(BZ$8&lt;6,6/BZ$8,1)))*(1+CA41)</f>
        <v>176.87153923199998</v>
      </c>
      <c r="CA41" s="116">
        <v>0</v>
      </c>
      <c r="CB41" s="12">
        <f t="shared" ref="CB41:CB73" si="130">BY41*(1+CC41)</f>
        <v>0</v>
      </c>
      <c r="CC41" s="116">
        <v>-1</v>
      </c>
      <c r="CD41" s="12">
        <v>289.5</v>
      </c>
      <c r="CE41" s="116">
        <v>0</v>
      </c>
      <c r="CF41" s="119">
        <f t="shared" ref="CF41:CF46" si="131">CD41*(1+CG41)</f>
        <v>289.5</v>
      </c>
      <c r="CG41" s="116">
        <v>0</v>
      </c>
      <c r="CH41" s="11"/>
      <c r="CI41" s="9"/>
      <c r="CJ41" s="9"/>
      <c r="CK41" s="9"/>
      <c r="CL41" s="9"/>
      <c r="CM41" s="116"/>
      <c r="CN41" s="12"/>
      <c r="CO41" s="116"/>
      <c r="CP41" s="12"/>
      <c r="CQ41" s="116"/>
      <c r="CR41" s="119"/>
      <c r="CS41" s="116"/>
      <c r="CT41" s="11"/>
      <c r="CU41" s="9"/>
      <c r="CV41" s="9"/>
      <c r="CW41" s="9"/>
      <c r="CX41" s="9"/>
      <c r="CY41" s="116"/>
      <c r="CZ41" s="12"/>
      <c r="DA41" s="116"/>
      <c r="DB41" s="12"/>
      <c r="DC41" s="116"/>
      <c r="DD41" s="119"/>
      <c r="DE41" s="116"/>
      <c r="DF41" s="11"/>
      <c r="DG41" s="9">
        <f t="shared" ref="DG41:DG46" si="132">C41+O41+AA41+AM41+AY41+BK41+BW41+CI41+CU41</f>
        <v>383.65868172259997</v>
      </c>
      <c r="DH41" s="12">
        <f>J41+V41+AH41+AT41+BF41+BR41+CD41+CP41+DB41</f>
        <v>506.80607321128002</v>
      </c>
      <c r="DI41" s="119">
        <f t="shared" ref="DI41:DI46" si="133">L41+X41+AJ41+AV41+BH41+BT41+CF41+CR41+DD41</f>
        <v>500.70607321128</v>
      </c>
      <c r="DK41" s="9">
        <f>DG41</f>
        <v>383.65868172259997</v>
      </c>
      <c r="DL41" s="12">
        <f>DH41</f>
        <v>506.80607321128002</v>
      </c>
      <c r="DM41" s="119">
        <f>DI41</f>
        <v>500.70607321128</v>
      </c>
    </row>
    <row r="42" spans="1:117" x14ac:dyDescent="0.25">
      <c r="B42" t="s">
        <v>111</v>
      </c>
      <c r="C42" s="9">
        <f>IFERROR(GETPIVOTDATA("[Measures].[Suma de valor]",base!$A$3,"[IF].[departamento_jerarquia2]","[IF].[departamento_jerarquia2].&amp;["&amp;C$5&amp;"]","[IF].[grupo_analisis]","[IF].[grupo_analisis].&amp;["&amp;$B42&amp;"]","[IF].[mes]","[IF].[mes].&amp;["&amp;C$8&amp;"]","[IF].[ano]","[IF].[ano].&amp;["&amp;C$7&amp;"]","[IF].[informacion]","[IF].[informacion].&amp;["&amp;C$9&amp;"]"),0)</f>
        <v>0</v>
      </c>
      <c r="D42" s="9">
        <f>IFERROR(GETPIVOTDATA("[Measures].[Suma de valor]",base!$A$3,"[IF].[departamento_jerarquia2]","[IF].[departamento_jerarquia2].&amp;["&amp;D$5&amp;"]","[IF].[grupo_analisis]","[IF].[grupo_analisis].&amp;["&amp;$B42&amp;"]","[IF].[mes]","[IF].[mes].&amp;["&amp;D$8&amp;"]","[IF].[ano]","[IF].[ano].&amp;["&amp;D$7&amp;"]","[IF].[informacion]","[IF].[informacion].&amp;["&amp;D$9&amp;"]"),0)</f>
        <v>0</v>
      </c>
      <c r="E42" s="9">
        <f t="shared" si="109"/>
        <v>0</v>
      </c>
      <c r="F42" s="9">
        <f>(IFERROR(GETPIVOTDATA("[Measures].[Suma de valor]",base!$A$3,"[IF].[departamento_jerarquia2]","[IF].[departamento_jerarquia2].&amp;["&amp;F$5&amp;"]","[IF].[grupo_analisis]","[IF].[grupo_analisis].&amp;["&amp;$B42&amp;"]","[IF].[mes]","[IF].[mes].&amp;["&amp;F$8&amp;"]","[IF].[ano]","[IF].[ano].&amp;["&amp;F$7&amp;"]","[IF].[informacion]","[IF].[informacion].&amp;["&amp;F$9&amp;"]"),0)*IF($B$2="Real",1,IF(F$8&lt;6,6/F$8,1)))*(1+G42)</f>
        <v>0</v>
      </c>
      <c r="G42" s="116">
        <v>0</v>
      </c>
      <c r="H42" s="12">
        <f t="shared" si="110"/>
        <v>0</v>
      </c>
      <c r="I42" s="116">
        <v>0</v>
      </c>
      <c r="J42" s="12">
        <f t="shared" si="111"/>
        <v>0</v>
      </c>
      <c r="K42" s="116">
        <v>0</v>
      </c>
      <c r="L42" s="119">
        <f t="shared" si="112"/>
        <v>0</v>
      </c>
      <c r="M42" s="116">
        <v>0</v>
      </c>
      <c r="N42" s="11"/>
      <c r="O42" s="9">
        <f>IFERROR(GETPIVOTDATA("[Measures].[Suma de valor]",base!$A$3,"[IF].[departamento_jerarquia2]","[IF].[departamento_jerarquia2].&amp;["&amp;O$5&amp;"]","[IF].[grupo_analisis]","[IF].[grupo_analisis].&amp;["&amp;$B42&amp;"]","[IF].[mes]","[IF].[mes].&amp;["&amp;O$8&amp;"]","[IF].[ano]","[IF].[ano].&amp;["&amp;O$7&amp;"]","[IF].[informacion]","[IF].[informacion].&amp;["&amp;O$9&amp;"]"),0)-AA42</f>
        <v>25</v>
      </c>
      <c r="P42" s="9">
        <f>IFERROR(GETPIVOTDATA("[Measures].[Suma de valor]",base!$A$3,"[IF].[departamento_jerarquia2]","[IF].[departamento_jerarquia2].&amp;["&amp;P$5&amp;"]","[IF].[grupo_analisis]","[IF].[grupo_analisis].&amp;["&amp;$B42&amp;"]","[IF].[mes]","[IF].[mes].&amp;["&amp;P$8&amp;"]","[IF].[ano]","[IF].[ano].&amp;["&amp;P$7&amp;"]","[IF].[informacion]","[IF].[informacion].&amp;["&amp;P$9&amp;"]"),0)-AB42</f>
        <v>20</v>
      </c>
      <c r="Q42" s="9">
        <f t="shared" si="113"/>
        <v>5</v>
      </c>
      <c r="R42" s="9">
        <f>(IFERROR(GETPIVOTDATA("[Measures].[Suma de valor]",base!$A$3,"[IF].[departamento_jerarquia2]","[IF].[departamento_jerarquia2].&amp;["&amp;R$5&amp;"]","[IF].[grupo_analisis]","[IF].[grupo_analisis].&amp;["&amp;$B42&amp;"]","[IF].[mes]","[IF].[mes].&amp;["&amp;R$8&amp;"]","[IF].[ano]","[IF].[ano].&amp;["&amp;R$7&amp;"]","[IF].[informacion]","[IF].[informacion].&amp;["&amp;R$9&amp;"]"),0)*IF($B$2="Real",1,IF(R$8&lt;6,6/R$8,1))-AD42)*(1+S42)</f>
        <v>3.2058000000000035</v>
      </c>
      <c r="S42" s="116">
        <v>0</v>
      </c>
      <c r="T42" s="12">
        <f t="shared" si="114"/>
        <v>6.5</v>
      </c>
      <c r="U42" s="116">
        <v>0.3</v>
      </c>
      <c r="V42" s="12">
        <v>5.4</v>
      </c>
      <c r="W42" s="116">
        <v>0</v>
      </c>
      <c r="X42" s="119">
        <v>8.1999999999999993</v>
      </c>
      <c r="Y42" s="116">
        <v>0</v>
      </c>
      <c r="Z42" s="11"/>
      <c r="AA42" s="9">
        <f>IFERROR(GETPIVOTDATA("[Measures].[Suma de valor]",base!$AN$5,"[IF].[grupo_analisis]","[IF].[grupo_analisis].&amp;["&amp;$B42&amp;"]","[IF].[mes]","[IF].[mes].&amp;["&amp;AA$8&amp;"]","[IF].[ano]","[IF].[ano].&amp;["&amp;AA$7&amp;"]","[IF].[informacion]","[IF].[informacion].&amp;["&amp;AA$9&amp;"]"),0)</f>
        <v>132.936633</v>
      </c>
      <c r="AB42" s="9">
        <f>IFERROR(GETPIVOTDATA("[Measures].[Suma de valor]",base!$AN$5,"[IF].[grupo_analisis]","[IF].[grupo_analisis].&amp;["&amp;$B42&amp;"]","[IF].[mes]","[IF].[mes].&amp;["&amp;AB$8&amp;"]","[IF].[ano]","[IF].[ano].&amp;["&amp;AB$7&amp;"]","[IF].[informacion]","[IF].[informacion].&amp;["&amp;AB$9&amp;"]"),0)</f>
        <v>66.564466499999995</v>
      </c>
      <c r="AC42" s="9">
        <f t="shared" si="115"/>
        <v>66.372166500000006</v>
      </c>
      <c r="AD42" s="9">
        <f>(IFERROR(GETPIVOTDATA("[Measures].[Suma de valor]",base!$AN$5,"[IF].[grupo_analisis]","[IF].[grupo_analisis].&amp;["&amp;$B42&amp;"]","[IF].[mes]","[IF].[mes].&amp;["&amp;AD$8&amp;"]","[IF].[ano]","[IF].[ano].&amp;["&amp;AD$7&amp;"]","[IF].[informacion]","[IF].[informacion].&amp;["&amp;AD$9&amp;"]"),0)*IF($B$2="Real",1,IF(AD$8&lt;6,6/AD$8,1)))*(1+S42)</f>
        <v>58.563564564000004</v>
      </c>
      <c r="AE42" s="116">
        <v>0</v>
      </c>
      <c r="AF42" s="12">
        <f t="shared" si="116"/>
        <v>73.009383150000019</v>
      </c>
      <c r="AG42" s="116">
        <v>0.1</v>
      </c>
      <c r="AH42" s="12">
        <v>150</v>
      </c>
      <c r="AI42" s="116">
        <v>0</v>
      </c>
      <c r="AJ42" s="119">
        <v>156</v>
      </c>
      <c r="AK42" s="116">
        <v>0</v>
      </c>
      <c r="AL42" s="11"/>
      <c r="AM42" s="9">
        <f>IFERROR(GETPIVOTDATA("[Measures].[Suma de valor]",base!$A$3,"[IF].[departamento_jerarquia2]","[IF].[departamento_jerarquia2].&amp;["&amp;AM$5&amp;"]","[IF].[grupo_analisis]","[IF].[grupo_analisis].&amp;["&amp;$B42&amp;"]","[IF].[mes]","[IF].[mes].&amp;["&amp;AM$8&amp;"]","[IF].[ano]","[IF].[ano].&amp;["&amp;AM$7&amp;"]","[IF].[informacion]","[IF].[informacion].&amp;["&amp;AM$9&amp;"]"),0)-BK42</f>
        <v>0.96</v>
      </c>
      <c r="AN42" s="9">
        <f>IFERROR(GETPIVOTDATA("[Measures].[Suma de valor]",base!$A$3,"[IF].[departamento_jerarquia2]","[IF].[departamento_jerarquia2].&amp;["&amp;AN$5&amp;"]","[IF].[grupo_analisis]","[IF].[grupo_analisis].&amp;["&amp;$B42&amp;"]","[IF].[mes]","[IF].[mes].&amp;["&amp;AN$8&amp;"]","[IF].[ano]","[IF].[ano].&amp;["&amp;AN$7&amp;"]","[IF].[informacion]","[IF].[informacion].&amp;["&amp;AN$9&amp;"]"),0)-BL42</f>
        <v>0.47980800000000001</v>
      </c>
      <c r="AO42" s="9">
        <f t="shared" si="117"/>
        <v>0.48019199999999995</v>
      </c>
      <c r="AP42" s="9">
        <v>13.182</v>
      </c>
      <c r="AQ42" s="116">
        <v>0</v>
      </c>
      <c r="AR42" s="12">
        <f t="shared" si="118"/>
        <v>0.48019199999999995</v>
      </c>
      <c r="AS42" s="116">
        <v>0</v>
      </c>
      <c r="AT42" s="12">
        <v>4.7</v>
      </c>
      <c r="AU42" s="116">
        <v>0</v>
      </c>
      <c r="AV42" s="119">
        <f t="shared" si="120"/>
        <v>4.7</v>
      </c>
      <c r="AW42" s="116">
        <v>0</v>
      </c>
      <c r="AX42" s="11"/>
      <c r="AY42" s="9">
        <f>IFERROR(GETPIVOTDATA("[Measures].[Suma de valor]",base!$A$3,"[IF].[departamento_jerarquia2]","[IF].[departamento_jerarquia2].&amp;["&amp;AY$5&amp;"]","[IF].[grupo_analisis]","[IF].[grupo_analisis].&amp;["&amp;$B42&amp;"]","[IF].[mes]","[IF].[mes].&amp;["&amp;AY$8&amp;"]","[IF].[ano]","[IF].[ano].&amp;["&amp;AY$7&amp;"]","[IF].[informacion]","[IF].[informacion].&amp;["&amp;AY$9&amp;"]"),0)</f>
        <v>0</v>
      </c>
      <c r="AZ42" s="9">
        <f>IFERROR(GETPIVOTDATA("[Measures].[Suma de valor]",base!$A$3,"[IF].[departamento_jerarquia2]","[IF].[departamento_jerarquia2].&amp;["&amp;AZ$5&amp;"]","[IF].[grupo_analisis]","[IF].[grupo_analisis].&amp;["&amp;$B42&amp;"]","[IF].[mes]","[IF].[mes].&amp;["&amp;AZ$8&amp;"]","[IF].[ano]","[IF].[ano].&amp;["&amp;AZ$7&amp;"]","[IF].[informacion]","[IF].[informacion].&amp;["&amp;AZ$9&amp;"]"),0)</f>
        <v>0</v>
      </c>
      <c r="BA42" s="9">
        <f t="shared" si="121"/>
        <v>0</v>
      </c>
      <c r="BB42" s="9">
        <f>(IFERROR(GETPIVOTDATA("[Measures].[Suma de valor]",base!$A$3,"[IF].[departamento_jerarquia2]","[IF].[departamento_jerarquia2].&amp;["&amp;BB$5&amp;"]","[IF].[grupo_analisis]","[IF].[grupo_analisis].&amp;["&amp;$B42&amp;"]","[IF].[mes]","[IF].[mes].&amp;["&amp;BB$8&amp;"]","[IF].[ano]","[IF].[ano].&amp;["&amp;BB$7&amp;"]","[IF].[informacion]","[IF].[informacion].&amp;["&amp;BB$9&amp;"]"),0)*IF($B$2="Real",1,IF(BB$8&lt;6,6/BB$8,1)))*(1+BC42)</f>
        <v>0</v>
      </c>
      <c r="BC42" s="116">
        <v>0</v>
      </c>
      <c r="BD42" s="12">
        <f t="shared" si="122"/>
        <v>0</v>
      </c>
      <c r="BE42" s="116">
        <v>0</v>
      </c>
      <c r="BF42" s="12">
        <f t="shared" si="123"/>
        <v>0</v>
      </c>
      <c r="BG42" s="116">
        <v>0</v>
      </c>
      <c r="BH42" s="119">
        <f t="shared" si="124"/>
        <v>0</v>
      </c>
      <c r="BI42" s="116">
        <v>0</v>
      </c>
      <c r="BJ42" s="11"/>
      <c r="BK42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42&amp;"]"),0)</f>
        <v>0</v>
      </c>
      <c r="BL42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42&amp;"]"),0)</f>
        <v>0</v>
      </c>
      <c r="BM42" s="9">
        <f t="shared" si="125"/>
        <v>0</v>
      </c>
      <c r="BN42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42&amp;"]"),0)*IF($B$2="Real",1,IF(BN$8&lt;6,6/BN$8,1)))*(1+BO42)</f>
        <v>0</v>
      </c>
      <c r="BO42" s="116">
        <v>0</v>
      </c>
      <c r="BP42" s="12">
        <f t="shared" si="126"/>
        <v>0</v>
      </c>
      <c r="BQ42" s="116">
        <v>0</v>
      </c>
      <c r="BR42" s="12">
        <f t="shared" si="127"/>
        <v>0</v>
      </c>
      <c r="BS42" s="116">
        <v>0</v>
      </c>
      <c r="BT42" s="119">
        <f t="shared" si="128"/>
        <v>0</v>
      </c>
      <c r="BU42" s="116">
        <v>0</v>
      </c>
      <c r="BV42" s="11"/>
      <c r="BW42" s="9">
        <f>IFERROR(GETPIVOTDATA("[Measures].[Suma de valor]",base!$A$3,"[IF].[departamento_jerarquia2]","[IF].[departamento_jerarquia2].&amp;["&amp;BW$5&amp;"]","[IF].[grupo_analisis]","[IF].[grupo_analisis].&amp;["&amp;$B42&amp;"]","[IF].[mes]","[IF].[mes].&amp;["&amp;BW$8&amp;"]","[IF].[ano]","[IF].[ano].&amp;["&amp;BW$7&amp;"]","[IF].[informacion]","[IF].[informacion].&amp;["&amp;BW$9&amp;"]"),0)</f>
        <v>0</v>
      </c>
      <c r="BX42" s="9">
        <f>IFERROR(GETPIVOTDATA("[Measures].[Suma de valor]",base!$A$3,"[IF].[departamento_jerarquia2]","[IF].[departamento_jerarquia2].&amp;["&amp;BX$5&amp;"]","[IF].[grupo_analisis]","[IF].[grupo_analisis].&amp;["&amp;$B42&amp;"]","[IF].[mes]","[IF].[mes].&amp;["&amp;BX$8&amp;"]","[IF].[ano]","[IF].[ano].&amp;["&amp;BX$7&amp;"]","[IF].[informacion]","[IF].[informacion].&amp;["&amp;BX$9&amp;"]"),0)</f>
        <v>0</v>
      </c>
      <c r="BY42" s="9">
        <f t="shared" si="129"/>
        <v>0</v>
      </c>
      <c r="BZ42" s="9">
        <f>(IFERROR(GETPIVOTDATA("[Measures].[Suma de valor]",base!$A$3,"[IF].[departamento_jerarquia2]","[IF].[departamento_jerarquia2].&amp;["&amp;BZ$5&amp;"]","[IF].[grupo_analisis]","[IF].[grupo_analisis].&amp;["&amp;$B42&amp;"]","[IF].[mes]","[IF].[mes].&amp;["&amp;BZ$8&amp;"]","[IF].[ano]","[IF].[ano].&amp;["&amp;BZ$7&amp;"]","[IF].[informacion]","[IF].[informacion].&amp;["&amp;BZ$9&amp;"]"),0)*IF($B$2="Real",1,IF(BZ$8&lt;6,6/BZ$8,1)))*(1+CA42)</f>
        <v>9.8305199999999999</v>
      </c>
      <c r="CA42" s="116">
        <v>0</v>
      </c>
      <c r="CB42" s="12">
        <f t="shared" si="130"/>
        <v>0</v>
      </c>
      <c r="CC42" s="116">
        <v>0</v>
      </c>
      <c r="CD42" s="12">
        <v>0</v>
      </c>
      <c r="CE42" s="116">
        <v>0</v>
      </c>
      <c r="CF42" s="119">
        <f t="shared" si="131"/>
        <v>0</v>
      </c>
      <c r="CG42" s="116">
        <v>0</v>
      </c>
      <c r="CH42" s="11"/>
      <c r="CI42" s="9"/>
      <c r="CJ42" s="9"/>
      <c r="CK42" s="9"/>
      <c r="CL42" s="9"/>
      <c r="CM42" s="116"/>
      <c r="CN42" s="12"/>
      <c r="CO42" s="116"/>
      <c r="CP42" s="12"/>
      <c r="CQ42" s="116"/>
      <c r="CR42" s="119"/>
      <c r="CS42" s="116"/>
      <c r="CT42" s="11"/>
      <c r="CU42" s="9"/>
      <c r="CV42" s="9"/>
      <c r="CW42" s="9"/>
      <c r="CX42" s="9"/>
      <c r="CY42" s="116"/>
      <c r="CZ42" s="12"/>
      <c r="DA42" s="116"/>
      <c r="DB42" s="12"/>
      <c r="DC42" s="116"/>
      <c r="DD42" s="119"/>
      <c r="DE42" s="116"/>
      <c r="DF42" s="11"/>
      <c r="DG42" s="9">
        <f t="shared" si="132"/>
        <v>158.89663300000001</v>
      </c>
      <c r="DH42" s="12">
        <f t="shared" ref="DH42:DH46" si="134">J42+V42+AH42+AT42+BF42+BR42+CD42+CP42+DB42</f>
        <v>160.1</v>
      </c>
      <c r="DI42" s="119">
        <f t="shared" si="133"/>
        <v>168.89999999999998</v>
      </c>
      <c r="DK42" s="9">
        <f t="shared" ref="DK42:DM46" si="135">DG42</f>
        <v>158.89663300000001</v>
      </c>
      <c r="DL42" s="12">
        <f t="shared" si="135"/>
        <v>160.1</v>
      </c>
      <c r="DM42" s="119">
        <f t="shared" si="135"/>
        <v>168.89999999999998</v>
      </c>
    </row>
    <row r="43" spans="1:117" x14ac:dyDescent="0.25">
      <c r="B43" t="s">
        <v>108</v>
      </c>
      <c r="C43" s="9">
        <f>IFERROR(GETPIVOTDATA("[Measures].[Suma de valor]",base!$A$3,"[IF].[departamento_jerarquia2]","[IF].[departamento_jerarquia2].&amp;["&amp;C$5&amp;"]","[IF].[grupo_analisis]","[IF].[grupo_analisis].&amp;["&amp;$B43&amp;"]","[IF].[mes]","[IF].[mes].&amp;["&amp;C$8&amp;"]","[IF].[ano]","[IF].[ano].&amp;["&amp;C$7&amp;"]","[IF].[informacion]","[IF].[informacion].&amp;["&amp;C$9&amp;"]"),0)</f>
        <v>0</v>
      </c>
      <c r="D43" s="9">
        <f>IFERROR(GETPIVOTDATA("[Measures].[Suma de valor]",base!$A$3,"[IF].[departamento_jerarquia2]","[IF].[departamento_jerarquia2].&amp;["&amp;D$5&amp;"]","[IF].[grupo_analisis]","[IF].[grupo_analisis].&amp;["&amp;$B43&amp;"]","[IF].[mes]","[IF].[mes].&amp;["&amp;D$8&amp;"]","[IF].[ano]","[IF].[ano].&amp;["&amp;D$7&amp;"]","[IF].[informacion]","[IF].[informacion].&amp;["&amp;D$9&amp;"]"),0)</f>
        <v>0</v>
      </c>
      <c r="E43" s="9">
        <f t="shared" si="109"/>
        <v>0</v>
      </c>
      <c r="F43" s="9">
        <f>(IFERROR(GETPIVOTDATA("[Measures].[Suma de valor]",base!$A$3,"[IF].[departamento_jerarquia2]","[IF].[departamento_jerarquia2].&amp;["&amp;F$5&amp;"]","[IF].[grupo_analisis]","[IF].[grupo_analisis].&amp;["&amp;$B43&amp;"]","[IF].[mes]","[IF].[mes].&amp;["&amp;F$8&amp;"]","[IF].[ano]","[IF].[ano].&amp;["&amp;F$7&amp;"]","[IF].[informacion]","[IF].[informacion].&amp;["&amp;F$9&amp;"]"),0)*IF($B$2="Real",1,IF(F$8&lt;6,6/F$8,1)))*(1+G43)</f>
        <v>0</v>
      </c>
      <c r="G43" s="116">
        <v>0</v>
      </c>
      <c r="H43" s="12">
        <f t="shared" si="110"/>
        <v>0</v>
      </c>
      <c r="I43" s="116">
        <v>0</v>
      </c>
      <c r="J43" s="12">
        <f t="shared" si="111"/>
        <v>0</v>
      </c>
      <c r="K43" s="116">
        <v>0</v>
      </c>
      <c r="L43" s="119">
        <f t="shared" si="112"/>
        <v>0</v>
      </c>
      <c r="M43" s="116">
        <v>0</v>
      </c>
      <c r="N43" s="11"/>
      <c r="O43" s="9">
        <f>IFERROR(GETPIVOTDATA("[Measures].[Suma de valor]",base!$A$3,"[IF].[departamento_jerarquia2]","[IF].[departamento_jerarquia2].&amp;["&amp;O$5&amp;"]","[IF].[grupo_analisis]","[IF].[grupo_analisis].&amp;["&amp;$B43&amp;"]","[IF].[mes]","[IF].[mes].&amp;["&amp;O$8&amp;"]","[IF].[ano]","[IF].[ano].&amp;["&amp;O$7&amp;"]","[IF].[informacion]","[IF].[informacion].&amp;["&amp;O$9&amp;"]"),0)-AA43</f>
        <v>10.8</v>
      </c>
      <c r="P43" s="9">
        <f>IFERROR(GETPIVOTDATA("[Measures].[Suma de valor]",base!$A$3,"[IF].[departamento_jerarquia2]","[IF].[departamento_jerarquia2].&amp;["&amp;P$5&amp;"]","[IF].[grupo_analisis]","[IF].[grupo_analisis].&amp;["&amp;$B43&amp;"]","[IF].[mes]","[IF].[mes].&amp;["&amp;P$8&amp;"]","[IF].[ano]","[IF].[ano].&amp;["&amp;P$7&amp;"]","[IF].[informacion]","[IF].[informacion].&amp;["&amp;P$9&amp;"]"),0)-AB43</f>
        <v>10.5</v>
      </c>
      <c r="Q43" s="9">
        <f t="shared" si="113"/>
        <v>0.30000000000000071</v>
      </c>
      <c r="R43" s="9">
        <f>(IFERROR(GETPIVOTDATA("[Measures].[Suma de valor]",base!$A$3,"[IF].[departamento_jerarquia2]","[IF].[departamento_jerarquia2].&amp;["&amp;R$5&amp;"]","[IF].[grupo_analisis]","[IF].[grupo_analisis].&amp;["&amp;$B43&amp;"]","[IF].[mes]","[IF].[mes].&amp;["&amp;R$8&amp;"]","[IF].[ano]","[IF].[ano].&amp;["&amp;R$7&amp;"]","[IF].[informacion]","[IF].[informacion].&amp;["&amp;R$9&amp;"]"),0)*IF($B$2="Real",1,IF(R$8&lt;6,6/R$8,1))-AD43)*(1+S43)</f>
        <v>0</v>
      </c>
      <c r="S43" s="116">
        <v>0</v>
      </c>
      <c r="T43" s="12">
        <v>11</v>
      </c>
      <c r="U43" s="116">
        <v>0</v>
      </c>
      <c r="V43" s="12">
        <v>0</v>
      </c>
      <c r="W43" s="116">
        <v>0</v>
      </c>
      <c r="X43" s="119">
        <v>13.38</v>
      </c>
      <c r="Y43" s="116">
        <v>0</v>
      </c>
      <c r="Z43" s="11"/>
      <c r="AA43" s="9">
        <f>IFERROR(GETPIVOTDATA("[Measures].[Suma de valor]",base!$AN$5,"[IF].[grupo_analisis]","[IF].[grupo_analisis].&amp;["&amp;$B43&amp;"]","[IF].[mes]","[IF].[mes].&amp;["&amp;AA$8&amp;"]","[IF].[ano]","[IF].[ano].&amp;["&amp;AA$7&amp;"]","[IF].[informacion]","[IF].[informacion].&amp;["&amp;AA$9&amp;"]"),0)</f>
        <v>2.7424439999999994</v>
      </c>
      <c r="AB43" s="9">
        <f>IFERROR(GETPIVOTDATA("[Measures].[Suma de valor]",base!$AN$5,"[IF].[grupo_analisis]","[IF].[grupo_analisis].&amp;["&amp;$B43&amp;"]","[IF].[mes]","[IF].[mes].&amp;["&amp;AB$8&amp;"]","[IF].[ano]","[IF].[ano].&amp;["&amp;AB$7&amp;"]","[IF].[informacion]","[IF].[informacion].&amp;["&amp;AB$9&amp;"]"),0)</f>
        <v>2.7357134999999992</v>
      </c>
      <c r="AC43" s="9">
        <f t="shared" si="115"/>
        <v>6.7305000000001947E-3</v>
      </c>
      <c r="AD43" s="9">
        <f>(IFERROR(GETPIVOTDATA("[Measures].[Suma de valor]",base!$AN$5,"[IF].[grupo_analisis]","[IF].[grupo_analisis].&amp;["&amp;$B43&amp;"]","[IF].[mes]","[IF].[mes].&amp;["&amp;AD$8&amp;"]","[IF].[ano]","[IF].[ano].&amp;["&amp;AD$7&amp;"]","[IF].[informacion]","[IF].[informacion].&amp;["&amp;AD$9&amp;"]"),0)*IF($B$2="Real",1,IF(AD$8&lt;6,6/AD$8,1)))*(1+S43)</f>
        <v>0</v>
      </c>
      <c r="AE43" s="116">
        <v>0</v>
      </c>
      <c r="AF43" s="12">
        <v>24</v>
      </c>
      <c r="AG43" s="116">
        <v>0</v>
      </c>
      <c r="AH43" s="12">
        <v>0</v>
      </c>
      <c r="AI43" s="116">
        <v>0</v>
      </c>
      <c r="AJ43" s="119">
        <v>10.356</v>
      </c>
      <c r="AK43" s="116">
        <v>0</v>
      </c>
      <c r="AL43" s="11"/>
      <c r="AM43" s="9">
        <f>IFERROR(GETPIVOTDATA("[Measures].[Suma de valor]",base!$A$3,"[IF].[departamento_jerarquia2]","[IF].[departamento_jerarquia2].&amp;["&amp;AM$5&amp;"]","[IF].[grupo_analisis]","[IF].[grupo_analisis].&amp;["&amp;$B43&amp;"]","[IF].[mes]","[IF].[mes].&amp;["&amp;AM$8&amp;"]","[IF].[ano]","[IF].[ano].&amp;["&amp;AM$7&amp;"]","[IF].[informacion]","[IF].[informacion].&amp;["&amp;AM$9&amp;"]"),0)-BK43</f>
        <v>0.52</v>
      </c>
      <c r="AN43" s="9">
        <f>IFERROR(GETPIVOTDATA("[Measures].[Suma de valor]",base!$A$3,"[IF].[departamento_jerarquia2]","[IF].[departamento_jerarquia2].&amp;["&amp;AN$5&amp;"]","[IF].[grupo_analisis]","[IF].[grupo_analisis].&amp;["&amp;$B43&amp;"]","[IF].[mes]","[IF].[mes].&amp;["&amp;AN$8&amp;"]","[IF].[ano]","[IF].[ano].&amp;["&amp;AN$7&amp;"]","[IF].[informacion]","[IF].[informacion].&amp;["&amp;AN$9&amp;"]"),0)-BL43</f>
        <v>0.26</v>
      </c>
      <c r="AO43" s="9">
        <f t="shared" si="117"/>
        <v>0.26</v>
      </c>
      <c r="AP43" s="9">
        <v>0</v>
      </c>
      <c r="AQ43" s="116">
        <v>0</v>
      </c>
      <c r="AR43" s="12">
        <f t="shared" si="118"/>
        <v>0.26</v>
      </c>
      <c r="AS43" s="116">
        <v>0</v>
      </c>
      <c r="AT43" s="12">
        <v>131.19999999999999</v>
      </c>
      <c r="AU43" s="116">
        <v>0</v>
      </c>
      <c r="AV43" s="119">
        <v>144.30000000000001</v>
      </c>
      <c r="AW43" s="116">
        <v>0</v>
      </c>
      <c r="AX43" s="11"/>
      <c r="AY43" s="9">
        <f>IFERROR(GETPIVOTDATA("[Measures].[Suma de valor]",base!$A$3,"[IF].[departamento_jerarquia2]","[IF].[departamento_jerarquia2].&amp;["&amp;AY$5&amp;"]","[IF].[grupo_analisis]","[IF].[grupo_analisis].&amp;["&amp;$B43&amp;"]","[IF].[mes]","[IF].[mes].&amp;["&amp;AY$8&amp;"]","[IF].[ano]","[IF].[ano].&amp;["&amp;AY$7&amp;"]","[IF].[informacion]","[IF].[informacion].&amp;["&amp;AY$9&amp;"]"),0)</f>
        <v>0</v>
      </c>
      <c r="AZ43" s="9">
        <f>IFERROR(GETPIVOTDATA("[Measures].[Suma de valor]",base!$A$3,"[IF].[departamento_jerarquia2]","[IF].[departamento_jerarquia2].&amp;["&amp;AZ$5&amp;"]","[IF].[grupo_analisis]","[IF].[grupo_analisis].&amp;["&amp;$B43&amp;"]","[IF].[mes]","[IF].[mes].&amp;["&amp;AZ$8&amp;"]","[IF].[ano]","[IF].[ano].&amp;["&amp;AZ$7&amp;"]","[IF].[informacion]","[IF].[informacion].&amp;["&amp;AZ$9&amp;"]"),0)</f>
        <v>0</v>
      </c>
      <c r="BA43" s="9">
        <f t="shared" si="121"/>
        <v>0</v>
      </c>
      <c r="BB43" s="9">
        <f>(IFERROR(GETPIVOTDATA("[Measures].[Suma de valor]",base!$A$3,"[IF].[departamento_jerarquia2]","[IF].[departamento_jerarquia2].&amp;["&amp;BB$5&amp;"]","[IF].[grupo_analisis]","[IF].[grupo_analisis].&amp;["&amp;$B43&amp;"]","[IF].[mes]","[IF].[mes].&amp;["&amp;BB$8&amp;"]","[IF].[ano]","[IF].[ano].&amp;["&amp;BB$7&amp;"]","[IF].[informacion]","[IF].[informacion].&amp;["&amp;BB$9&amp;"]"),0)*IF($B$2="Real",1,IF(BB$8&lt;6,6/BB$8,1)))*(1+BC43)</f>
        <v>0</v>
      </c>
      <c r="BC43" s="116">
        <v>0</v>
      </c>
      <c r="BD43" s="12">
        <f t="shared" si="122"/>
        <v>0</v>
      </c>
      <c r="BE43" s="116">
        <v>0</v>
      </c>
      <c r="BF43" s="12">
        <f t="shared" si="123"/>
        <v>0</v>
      </c>
      <c r="BG43" s="116">
        <v>0</v>
      </c>
      <c r="BH43" s="119">
        <f t="shared" si="124"/>
        <v>0</v>
      </c>
      <c r="BI43" s="116">
        <v>0</v>
      </c>
      <c r="BJ43" s="11"/>
      <c r="BK43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43&amp;"]"),0)</f>
        <v>0</v>
      </c>
      <c r="BL43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43&amp;"]"),0)</f>
        <v>0</v>
      </c>
      <c r="BM43" s="9">
        <f t="shared" si="125"/>
        <v>0</v>
      </c>
      <c r="BN43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43&amp;"]"),0)*IF($B$2="Real",1,IF(BN$8&lt;6,6/BN$8,1)))*(1+BO43)</f>
        <v>0</v>
      </c>
      <c r="BO43" s="116">
        <v>0</v>
      </c>
      <c r="BP43" s="12">
        <f t="shared" si="126"/>
        <v>0</v>
      </c>
      <c r="BQ43" s="116">
        <v>0</v>
      </c>
      <c r="BR43" s="12">
        <f t="shared" si="127"/>
        <v>0</v>
      </c>
      <c r="BS43" s="116">
        <v>0</v>
      </c>
      <c r="BT43" s="119">
        <f t="shared" si="128"/>
        <v>0</v>
      </c>
      <c r="BU43" s="116">
        <v>0</v>
      </c>
      <c r="BV43" s="11"/>
      <c r="BW43" s="9">
        <f>IFERROR(GETPIVOTDATA("[Measures].[Suma de valor]",base!$A$3,"[IF].[departamento_jerarquia2]","[IF].[departamento_jerarquia2].&amp;["&amp;BW$5&amp;"]","[IF].[grupo_analisis]","[IF].[grupo_analisis].&amp;["&amp;$B43&amp;"]","[IF].[mes]","[IF].[mes].&amp;["&amp;BW$8&amp;"]","[IF].[ano]","[IF].[ano].&amp;["&amp;BW$7&amp;"]","[IF].[informacion]","[IF].[informacion].&amp;["&amp;BW$9&amp;"]"),0)</f>
        <v>1084.4480590000001</v>
      </c>
      <c r="BX43" s="9">
        <f>IFERROR(GETPIVOTDATA("[Measures].[Suma de valor]",base!$A$3,"[IF].[departamento_jerarquia2]","[IF].[departamento_jerarquia2].&amp;["&amp;BX$5&amp;"]","[IF].[grupo_analisis]","[IF].[grupo_analisis].&amp;["&amp;$B43&amp;"]","[IF].[mes]","[IF].[mes].&amp;["&amp;BX$8&amp;"]","[IF].[ano]","[IF].[ano].&amp;["&amp;BX$7&amp;"]","[IF].[informacion]","[IF].[informacion].&amp;["&amp;BX$9&amp;"]"),0)</f>
        <v>584.70482581589999</v>
      </c>
      <c r="BY43" s="9">
        <f t="shared" si="129"/>
        <v>499.74323318410006</v>
      </c>
      <c r="BZ43" s="9">
        <f>(IFERROR(GETPIVOTDATA("[Measures].[Suma de valor]",base!$A$3,"[IF].[departamento_jerarquia2]","[IF].[departamento_jerarquia2].&amp;["&amp;BZ$5&amp;"]","[IF].[grupo_analisis]","[IF].[grupo_analisis].&amp;["&amp;$B43&amp;"]","[IF].[mes]","[IF].[mes].&amp;["&amp;BZ$8&amp;"]","[IF].[ano]","[IF].[ano].&amp;["&amp;BZ$7&amp;"]","[IF].[informacion]","[IF].[informacion].&amp;["&amp;BZ$9&amp;"]"),0)*IF($B$2="Real",1,IF(BZ$8&lt;6,6/BZ$8,1)))*(1+CA43)</f>
        <v>21.644194799999998</v>
      </c>
      <c r="CA43" s="116">
        <v>0</v>
      </c>
      <c r="CB43" s="12">
        <f t="shared" si="130"/>
        <v>499.74323318410006</v>
      </c>
      <c r="CC43" s="116">
        <v>0</v>
      </c>
      <c r="CD43" s="12">
        <v>562</v>
      </c>
      <c r="CE43" s="116">
        <v>0</v>
      </c>
      <c r="CF43" s="119">
        <f>CD43*(1+CG43)</f>
        <v>562</v>
      </c>
      <c r="CG43" s="116">
        <v>0</v>
      </c>
      <c r="CH43" s="11"/>
      <c r="CI43" s="9"/>
      <c r="CJ43" s="9"/>
      <c r="CK43" s="9"/>
      <c r="CL43" s="9"/>
      <c r="CM43" s="116"/>
      <c r="CN43" s="12"/>
      <c r="CO43" s="116"/>
      <c r="CP43" s="12"/>
      <c r="CQ43" s="116"/>
      <c r="CR43" s="119"/>
      <c r="CS43" s="116"/>
      <c r="CT43" s="11"/>
      <c r="CU43" s="9"/>
      <c r="CV43" s="9"/>
      <c r="CW43" s="9"/>
      <c r="CX43" s="9"/>
      <c r="CY43" s="116"/>
      <c r="CZ43" s="12"/>
      <c r="DA43" s="116"/>
      <c r="DB43" s="12"/>
      <c r="DC43" s="116"/>
      <c r="DD43" s="119"/>
      <c r="DE43" s="116"/>
      <c r="DF43" s="11"/>
      <c r="DG43" s="9">
        <f>C43+O43+AA43+AM43+AY43+BK43+BW43+CI43+CU43</f>
        <v>1098.510503</v>
      </c>
      <c r="DH43" s="12">
        <f t="shared" si="134"/>
        <v>693.2</v>
      </c>
      <c r="DI43" s="119">
        <f t="shared" si="133"/>
        <v>730.03600000000006</v>
      </c>
      <c r="DK43" s="9">
        <f>DG43</f>
        <v>1098.510503</v>
      </c>
      <c r="DL43" s="12">
        <f t="shared" si="135"/>
        <v>693.2</v>
      </c>
      <c r="DM43" s="119">
        <f t="shared" si="135"/>
        <v>730.03600000000006</v>
      </c>
    </row>
    <row r="44" spans="1:117" x14ac:dyDescent="0.25">
      <c r="B44" t="s">
        <v>315</v>
      </c>
      <c r="C44" s="9">
        <f>IFERROR(GETPIVOTDATA("[Measures].[Suma de valor]",base!$A$3,"[IF].[departamento_jerarquia2]","[IF].[departamento_jerarquia2].&amp;["&amp;C$5&amp;"]","[IF].[grupo_analisis]","[IF].[grupo_analisis].&amp;["&amp;$B44&amp;"]","[IF].[mes]","[IF].[mes].&amp;["&amp;C$8&amp;"]","[IF].[ano]","[IF].[ano].&amp;["&amp;C$7&amp;"]","[IF].[informacion]","[IF].[informacion].&amp;["&amp;C$9&amp;"]"),0)</f>
        <v>0</v>
      </c>
      <c r="D44" s="9">
        <f>IFERROR(GETPIVOTDATA("[Measures].[Suma de valor]",base!$A$3,"[IF].[departamento_jerarquia2]","[IF].[departamento_jerarquia2].&amp;["&amp;D$5&amp;"]","[IF].[grupo_analisis]","[IF].[grupo_analisis].&amp;["&amp;$B44&amp;"]","[IF].[mes]","[IF].[mes].&amp;["&amp;D$8&amp;"]","[IF].[ano]","[IF].[ano].&amp;["&amp;D$7&amp;"]","[IF].[informacion]","[IF].[informacion].&amp;["&amp;D$9&amp;"]"),0)</f>
        <v>0</v>
      </c>
      <c r="E44" s="9">
        <f t="shared" ref="E44:E45" si="136">C44-D44</f>
        <v>0</v>
      </c>
      <c r="F44" s="9">
        <f>(IFERROR(GETPIVOTDATA("[Measures].[Suma de valor]",base!$A$3,"[IF].[departamento_jerarquia2]","[IF].[departamento_jerarquia2].&amp;["&amp;F$5&amp;"]","[IF].[grupo_analisis]","[IF].[grupo_analisis].&amp;["&amp;$B44&amp;"]","[IF].[mes]","[IF].[mes].&amp;["&amp;F$8&amp;"]","[IF].[ano]","[IF].[ano].&amp;["&amp;F$7&amp;"]","[IF].[informacion]","[IF].[informacion].&amp;["&amp;F$9&amp;"]"),0)*IF($B$2="Real",1,IF(F$8&lt;6,6/F$8,1)))*(1+G44)</f>
        <v>0</v>
      </c>
      <c r="G44" s="116">
        <v>0</v>
      </c>
      <c r="H44" s="12">
        <f t="shared" ref="H44:H45" si="137">E44*(1+I44)</f>
        <v>0</v>
      </c>
      <c r="I44" s="116">
        <v>0</v>
      </c>
      <c r="J44" s="12">
        <f t="shared" si="111"/>
        <v>0</v>
      </c>
      <c r="K44" s="116">
        <v>0</v>
      </c>
      <c r="L44" s="119">
        <f t="shared" si="112"/>
        <v>0</v>
      </c>
      <c r="M44" s="116">
        <v>0</v>
      </c>
      <c r="N44" s="11"/>
      <c r="O44" s="9">
        <f>IFERROR(GETPIVOTDATA("[Measures].[Suma de valor]",base!$A$3,"[IF].[departamento_jerarquia2]","[IF].[departamento_jerarquia2].&amp;["&amp;O$5&amp;"]","[IF].[grupo_analisis]","[IF].[grupo_analisis].&amp;["&amp;$B44&amp;"]","[IF].[mes]","[IF].[mes].&amp;["&amp;O$8&amp;"]","[IF].[ano]","[IF].[ano].&amp;["&amp;O$7&amp;"]","[IF].[informacion]","[IF].[informacion].&amp;["&amp;O$9&amp;"]"),0)-AA44</f>
        <v>0</v>
      </c>
      <c r="P44" s="9">
        <f>IFERROR(GETPIVOTDATA("[Measures].[Suma de valor]",base!$A$3,"[IF].[departamento_jerarquia2]","[IF].[departamento_jerarquia2].&amp;["&amp;P$5&amp;"]","[IF].[grupo_analisis]","[IF].[grupo_analisis].&amp;["&amp;$B44&amp;"]","[IF].[mes]","[IF].[mes].&amp;["&amp;P$8&amp;"]","[IF].[ano]","[IF].[ano].&amp;["&amp;P$7&amp;"]","[IF].[informacion]","[IF].[informacion].&amp;["&amp;P$9&amp;"]"),0)-AB44</f>
        <v>0</v>
      </c>
      <c r="Q44" s="9">
        <f t="shared" ref="Q44:Q45" si="138">O44-P44</f>
        <v>0</v>
      </c>
      <c r="R44" s="9">
        <f>(IFERROR(GETPIVOTDATA("[Measures].[Suma de valor]",base!$A$3,"[IF].[departamento_jerarquia2]","[IF].[departamento_jerarquia2].&amp;["&amp;R$5&amp;"]","[IF].[grupo_analisis]","[IF].[grupo_analisis].&amp;["&amp;$B44&amp;"]","[IF].[mes]","[IF].[mes].&amp;["&amp;R$8&amp;"]","[IF].[ano]","[IF].[ano].&amp;["&amp;R$7&amp;"]","[IF].[informacion]","[IF].[informacion].&amp;["&amp;R$9&amp;"]"),0)*IF($B$2="Real",1,IF(R$8&lt;6,6/R$8,1))-AD44)*(1+S44)</f>
        <v>0</v>
      </c>
      <c r="S44" s="116">
        <v>0</v>
      </c>
      <c r="T44" s="12">
        <f t="shared" ref="T44:T45" si="139">Q44*(1+U44)</f>
        <v>0</v>
      </c>
      <c r="U44" s="116">
        <v>0</v>
      </c>
      <c r="V44" s="12">
        <f t="shared" ref="V44:V73" si="140">R44+T44</f>
        <v>0</v>
      </c>
      <c r="W44" s="116">
        <v>0</v>
      </c>
      <c r="X44" s="119">
        <f t="shared" ref="X44:X46" si="141">V44*(1+Y44)</f>
        <v>0</v>
      </c>
      <c r="Y44" s="116">
        <v>0</v>
      </c>
      <c r="Z44" s="11"/>
      <c r="AA44" s="9">
        <f>IFERROR(GETPIVOTDATA("[Measures].[Suma de valor]",base!$AN$5,"[IF].[grupo_analisis]","[IF].[grupo_analisis].&amp;["&amp;$B44&amp;"]","[IF].[mes]","[IF].[mes].&amp;["&amp;AA$8&amp;"]","[IF].[ano]","[IF].[ano].&amp;["&amp;AA$7&amp;"]","[IF].[informacion]","[IF].[informacion].&amp;["&amp;AA$9&amp;"]"),0)</f>
        <v>0</v>
      </c>
      <c r="AB44" s="9">
        <f>IFERROR(GETPIVOTDATA("[Measures].[Suma de valor]",base!$AN$5,"[IF].[grupo_analisis]","[IF].[grupo_analisis].&amp;["&amp;$B44&amp;"]","[IF].[mes]","[IF].[mes].&amp;["&amp;AB$8&amp;"]","[IF].[ano]","[IF].[ano].&amp;["&amp;AB$7&amp;"]","[IF].[informacion]","[IF].[informacion].&amp;["&amp;AB$9&amp;"]"),0)</f>
        <v>0</v>
      </c>
      <c r="AC44" s="9">
        <f t="shared" ref="AC44:AC45" si="142">AA44-AB44</f>
        <v>0</v>
      </c>
      <c r="AD44" s="9">
        <f>(IFERROR(GETPIVOTDATA("[Measures].[Suma de valor]",base!$AN$5,"[IF].[grupo_analisis]","[IF].[grupo_analisis].&amp;["&amp;$B44&amp;"]","[IF].[mes]","[IF].[mes].&amp;["&amp;AD$8&amp;"]","[IF].[ano]","[IF].[ano].&amp;["&amp;AD$7&amp;"]","[IF].[informacion]","[IF].[informacion].&amp;["&amp;AD$9&amp;"]"),0)*IF($B$2="Real",1,IF(AD$8&lt;6,6/AD$8,1)))*(1+S44)</f>
        <v>0</v>
      </c>
      <c r="AE44" s="116">
        <v>0</v>
      </c>
      <c r="AF44" s="12">
        <f t="shared" ref="AF44:AF45" si="143">AC44*(1+AG44)</f>
        <v>0</v>
      </c>
      <c r="AG44" s="116">
        <v>0</v>
      </c>
      <c r="AH44" s="12">
        <f t="shared" ref="AH44:AH73" si="144">AD44+AF44</f>
        <v>0</v>
      </c>
      <c r="AI44" s="116">
        <v>0</v>
      </c>
      <c r="AJ44" s="119">
        <f t="shared" ref="AJ44" si="145">AH44*(1+AK44)</f>
        <v>0</v>
      </c>
      <c r="AK44" s="116">
        <v>0</v>
      </c>
      <c r="AL44" s="11"/>
      <c r="AM44" s="9">
        <f>IFERROR(GETPIVOTDATA("[Measures].[Suma de valor]",base!$A$3,"[IF].[departamento_jerarquia2]","[IF].[departamento_jerarquia2].&amp;["&amp;AM$5&amp;"]","[IF].[grupo_analisis]","[IF].[grupo_analisis].&amp;["&amp;$B44&amp;"]","[IF].[mes]","[IF].[mes].&amp;["&amp;AM$8&amp;"]","[IF].[ano]","[IF].[ano].&amp;["&amp;AM$7&amp;"]","[IF].[informacion]","[IF].[informacion].&amp;["&amp;AM$9&amp;"]"),0)-BK44</f>
        <v>0</v>
      </c>
      <c r="AN44" s="9">
        <f>IFERROR(GETPIVOTDATA("[Measures].[Suma de valor]",base!$A$3,"[IF].[departamento_jerarquia2]","[IF].[departamento_jerarquia2].&amp;["&amp;AN$5&amp;"]","[IF].[grupo_analisis]","[IF].[grupo_analisis].&amp;["&amp;$B44&amp;"]","[IF].[mes]","[IF].[mes].&amp;["&amp;AN$8&amp;"]","[IF].[ano]","[IF].[ano].&amp;["&amp;AN$7&amp;"]","[IF].[informacion]","[IF].[informacion].&amp;["&amp;AN$9&amp;"]"),0)-BL44</f>
        <v>0</v>
      </c>
      <c r="AO44" s="9">
        <f t="shared" ref="AO44:AO45" si="146">AM44-AN44</f>
        <v>0</v>
      </c>
      <c r="AP44" s="9">
        <v>0</v>
      </c>
      <c r="AQ44" s="116">
        <v>0</v>
      </c>
      <c r="AR44" s="12">
        <f t="shared" ref="AR44:AR45" si="147">AO44*(1+AS44)</f>
        <v>0</v>
      </c>
      <c r="AS44" s="116">
        <v>0</v>
      </c>
      <c r="AT44" s="12">
        <f t="shared" si="119"/>
        <v>0</v>
      </c>
      <c r="AU44" s="116">
        <v>0</v>
      </c>
      <c r="AV44" s="119">
        <f t="shared" si="120"/>
        <v>0</v>
      </c>
      <c r="AW44" s="116">
        <v>0</v>
      </c>
      <c r="AX44" s="11"/>
      <c r="AY44" s="9">
        <f>IFERROR(GETPIVOTDATA("[Measures].[Suma de valor]",base!$A$3,"[IF].[departamento_jerarquia2]","[IF].[departamento_jerarquia2].&amp;["&amp;AY$5&amp;"]","[IF].[grupo_analisis]","[IF].[grupo_analisis].&amp;["&amp;$B44&amp;"]","[IF].[mes]","[IF].[mes].&amp;["&amp;AY$8&amp;"]","[IF].[ano]","[IF].[ano].&amp;["&amp;AY$7&amp;"]","[IF].[informacion]","[IF].[informacion].&amp;["&amp;AY$9&amp;"]"),0)</f>
        <v>0</v>
      </c>
      <c r="AZ44" s="9">
        <f>IFERROR(GETPIVOTDATA("[Measures].[Suma de valor]",base!$A$3,"[IF].[departamento_jerarquia2]","[IF].[departamento_jerarquia2].&amp;["&amp;AZ$5&amp;"]","[IF].[grupo_analisis]","[IF].[grupo_analisis].&amp;["&amp;$B44&amp;"]","[IF].[mes]","[IF].[mes].&amp;["&amp;AZ$8&amp;"]","[IF].[ano]","[IF].[ano].&amp;["&amp;AZ$7&amp;"]","[IF].[informacion]","[IF].[informacion].&amp;["&amp;AZ$9&amp;"]"),0)</f>
        <v>0</v>
      </c>
      <c r="BA44" s="9">
        <f t="shared" ref="BA44:BA45" si="148">AY44-AZ44</f>
        <v>0</v>
      </c>
      <c r="BB44" s="9">
        <f>(IFERROR(GETPIVOTDATA("[Measures].[Suma de valor]",base!$A$3,"[IF].[departamento_jerarquia2]","[IF].[departamento_jerarquia2].&amp;["&amp;BB$5&amp;"]","[IF].[grupo_analisis]","[IF].[grupo_analisis].&amp;["&amp;$B44&amp;"]","[IF].[mes]","[IF].[mes].&amp;["&amp;BB$8&amp;"]","[IF].[ano]","[IF].[ano].&amp;["&amp;BB$7&amp;"]","[IF].[informacion]","[IF].[informacion].&amp;["&amp;BB$9&amp;"]"),0)*IF($B$2="Real",1,IF(BB$8&lt;6,6/BB$8,1)))*(1+BC44)</f>
        <v>0</v>
      </c>
      <c r="BC44" s="116">
        <v>0</v>
      </c>
      <c r="BD44" s="12">
        <f t="shared" ref="BD44:BD45" si="149">BA44*(1+BE44)</f>
        <v>0</v>
      </c>
      <c r="BE44" s="116">
        <v>0</v>
      </c>
      <c r="BF44" s="12">
        <f t="shared" si="123"/>
        <v>0</v>
      </c>
      <c r="BG44" s="116">
        <v>0</v>
      </c>
      <c r="BH44" s="119">
        <f t="shared" si="124"/>
        <v>0</v>
      </c>
      <c r="BI44" s="116">
        <v>0</v>
      </c>
      <c r="BJ44" s="11"/>
      <c r="BK44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44&amp;"]"),0)</f>
        <v>0</v>
      </c>
      <c r="BL44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44&amp;"]"),0)</f>
        <v>0</v>
      </c>
      <c r="BM44" s="9">
        <f t="shared" ref="BM44:BM45" si="150">BK44-BL44</f>
        <v>0</v>
      </c>
      <c r="BN44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44&amp;"]"),0)*IF($B$2="Real",1,IF(BN$8&lt;6,6/BN$8,1)))*(1+BO44)</f>
        <v>0</v>
      </c>
      <c r="BO44" s="116">
        <v>0</v>
      </c>
      <c r="BP44" s="12">
        <f t="shared" ref="BP44:BP45" si="151">BM44*(1+BQ44)</f>
        <v>0</v>
      </c>
      <c r="BQ44" s="116">
        <v>0</v>
      </c>
      <c r="BR44" s="12">
        <f t="shared" si="127"/>
        <v>0</v>
      </c>
      <c r="BS44" s="116">
        <v>0</v>
      </c>
      <c r="BT44" s="119">
        <f t="shared" si="128"/>
        <v>0</v>
      </c>
      <c r="BU44" s="116">
        <v>0</v>
      </c>
      <c r="BV44" s="11"/>
      <c r="BW44" s="9">
        <f>IFERROR(GETPIVOTDATA("[Measures].[Suma de valor]",base!$A$3,"[IF].[departamento_jerarquia2]","[IF].[departamento_jerarquia2].&amp;["&amp;BW$5&amp;"]","[IF].[grupo_analisis]","[IF].[grupo_analisis].&amp;["&amp;$B44&amp;"]","[IF].[mes]","[IF].[mes].&amp;["&amp;BW$8&amp;"]","[IF].[ano]","[IF].[ano].&amp;["&amp;BW$7&amp;"]","[IF].[informacion]","[IF].[informacion].&amp;["&amp;BW$9&amp;"]"),0)</f>
        <v>0</v>
      </c>
      <c r="BX44" s="9">
        <f>IFERROR(GETPIVOTDATA("[Measures].[Suma de valor]",base!$A$3,"[IF].[departamento_jerarquia2]","[IF].[departamento_jerarquia2].&amp;["&amp;BX$5&amp;"]","[IF].[grupo_analisis]","[IF].[grupo_analisis].&amp;["&amp;$B44&amp;"]","[IF].[mes]","[IF].[mes].&amp;["&amp;BX$8&amp;"]","[IF].[ano]","[IF].[ano].&amp;["&amp;BX$7&amp;"]","[IF].[informacion]","[IF].[informacion].&amp;["&amp;BX$9&amp;"]"),0)</f>
        <v>0</v>
      </c>
      <c r="BY44" s="9">
        <f t="shared" ref="BY44:BY45" si="152">BW44-BX44</f>
        <v>0</v>
      </c>
      <c r="BZ44" s="9">
        <f>(IFERROR(GETPIVOTDATA("[Measures].[Suma de valor]",base!$A$3,"[IF].[departamento_jerarquia2]","[IF].[departamento_jerarquia2].&amp;["&amp;BZ$5&amp;"]","[IF].[grupo_analisis]","[IF].[grupo_analisis].&amp;["&amp;$B44&amp;"]","[IF].[mes]","[IF].[mes].&amp;["&amp;BZ$8&amp;"]","[IF].[ano]","[IF].[ano].&amp;["&amp;BZ$7&amp;"]","[IF].[informacion]","[IF].[informacion].&amp;["&amp;BZ$9&amp;"]"),0)*IF($B$2="Real",1,IF(BZ$8&lt;6,6/BZ$8,1)))*(1+CA44)</f>
        <v>0</v>
      </c>
      <c r="CA44" s="116">
        <v>0</v>
      </c>
      <c r="CB44" s="12">
        <f t="shared" ref="CB44:CB45" si="153">BY44*(1+CC44)</f>
        <v>0</v>
      </c>
      <c r="CC44" s="116">
        <v>0</v>
      </c>
      <c r="CD44" s="12">
        <f t="shared" ref="CD44:CD73" si="154">BZ44+CB44</f>
        <v>0</v>
      </c>
      <c r="CE44" s="116">
        <v>0</v>
      </c>
      <c r="CF44" s="119">
        <f t="shared" si="131"/>
        <v>0</v>
      </c>
      <c r="CG44" s="116">
        <v>0</v>
      </c>
      <c r="CH44" s="11"/>
      <c r="CI44" s="9"/>
      <c r="CJ44" s="9"/>
      <c r="CK44" s="9"/>
      <c r="CL44" s="9"/>
      <c r="CM44" s="116"/>
      <c r="CN44" s="12"/>
      <c r="CO44" s="116"/>
      <c r="CP44" s="12"/>
      <c r="CQ44" s="116"/>
      <c r="CR44" s="119"/>
      <c r="CS44" s="116"/>
      <c r="CT44" s="11"/>
      <c r="CU44" s="9"/>
      <c r="CV44" s="9"/>
      <c r="CW44" s="9"/>
      <c r="CX44" s="9"/>
      <c r="CY44" s="116"/>
      <c r="CZ44" s="12"/>
      <c r="DA44" s="116"/>
      <c r="DB44" s="12"/>
      <c r="DC44" s="116"/>
      <c r="DD44" s="119"/>
      <c r="DE44" s="116"/>
      <c r="DF44" s="11"/>
      <c r="DG44" s="9">
        <f t="shared" si="132"/>
        <v>0</v>
      </c>
      <c r="DH44" s="12">
        <f t="shared" si="134"/>
        <v>0</v>
      </c>
      <c r="DI44" s="119">
        <f t="shared" si="133"/>
        <v>0</v>
      </c>
      <c r="DK44" s="9">
        <f t="shared" si="135"/>
        <v>0</v>
      </c>
      <c r="DL44" s="12">
        <f t="shared" si="135"/>
        <v>0</v>
      </c>
      <c r="DM44" s="119">
        <f t="shared" si="135"/>
        <v>0</v>
      </c>
    </row>
    <row r="45" spans="1:117" x14ac:dyDescent="0.25">
      <c r="B45" t="s">
        <v>314</v>
      </c>
      <c r="C45" s="9">
        <f>IFERROR(GETPIVOTDATA("[Measures].[Suma de valor]",base!$A$3,"[IF].[departamento_jerarquia2]","[IF].[departamento_jerarquia2].&amp;["&amp;C$5&amp;"]","[IF].[grupo_analisis]","[IF].[grupo_analisis].&amp;["&amp;$B45&amp;"]","[IF].[mes]","[IF].[mes].&amp;["&amp;C$8&amp;"]","[IF].[ano]","[IF].[ano].&amp;["&amp;C$7&amp;"]","[IF].[informacion]","[IF].[informacion].&amp;["&amp;C$9&amp;"]"),0)</f>
        <v>0</v>
      </c>
      <c r="D45" s="9">
        <f>IFERROR(GETPIVOTDATA("[Measures].[Suma de valor]",base!$A$3,"[IF].[departamento_jerarquia2]","[IF].[departamento_jerarquia2].&amp;["&amp;D$5&amp;"]","[IF].[grupo_analisis]","[IF].[grupo_analisis].&amp;["&amp;$B45&amp;"]","[IF].[mes]","[IF].[mes].&amp;["&amp;D$8&amp;"]","[IF].[ano]","[IF].[ano].&amp;["&amp;D$7&amp;"]","[IF].[informacion]","[IF].[informacion].&amp;["&amp;D$9&amp;"]"),0)</f>
        <v>0</v>
      </c>
      <c r="E45" s="9">
        <f t="shared" si="136"/>
        <v>0</v>
      </c>
      <c r="F45" s="9">
        <f>(IFERROR(GETPIVOTDATA("[Measures].[Suma de valor]",base!$A$3,"[IF].[departamento_jerarquia2]","[IF].[departamento_jerarquia2].&amp;["&amp;F$5&amp;"]","[IF].[grupo_analisis]","[IF].[grupo_analisis].&amp;["&amp;$B45&amp;"]","[IF].[mes]","[IF].[mes].&amp;["&amp;F$8&amp;"]","[IF].[ano]","[IF].[ano].&amp;["&amp;F$7&amp;"]","[IF].[informacion]","[IF].[informacion].&amp;["&amp;F$9&amp;"]"),0)*IF($B$2="Real",1,IF(F$8&lt;6,6/F$8,1)))*(1+G45)</f>
        <v>0</v>
      </c>
      <c r="G45" s="116">
        <v>0</v>
      </c>
      <c r="H45" s="12">
        <f t="shared" si="137"/>
        <v>0</v>
      </c>
      <c r="I45" s="116">
        <v>0</v>
      </c>
      <c r="J45" s="12">
        <f t="shared" si="111"/>
        <v>0</v>
      </c>
      <c r="K45" s="116">
        <v>0</v>
      </c>
      <c r="L45" s="119">
        <f t="shared" si="112"/>
        <v>0</v>
      </c>
      <c r="M45" s="116">
        <v>0</v>
      </c>
      <c r="N45" s="11"/>
      <c r="O45" s="9">
        <f>IFERROR(GETPIVOTDATA("[Measures].[Suma de valor]",base!$A$3,"[IF].[departamento_jerarquia2]","[IF].[departamento_jerarquia2].&amp;["&amp;O$5&amp;"]","[IF].[grupo_analisis]","[IF].[grupo_analisis].&amp;["&amp;$B45&amp;"]","[IF].[mes]","[IF].[mes].&amp;["&amp;O$8&amp;"]","[IF].[ano]","[IF].[ano].&amp;["&amp;O$7&amp;"]","[IF].[informacion]","[IF].[informacion].&amp;["&amp;O$9&amp;"]"),0)-AA45</f>
        <v>0</v>
      </c>
      <c r="P45" s="9">
        <f>IFERROR(GETPIVOTDATA("[Measures].[Suma de valor]",base!$A$3,"[IF].[departamento_jerarquia2]","[IF].[departamento_jerarquia2].&amp;["&amp;P$5&amp;"]","[IF].[grupo_analisis]","[IF].[grupo_analisis].&amp;["&amp;$B45&amp;"]","[IF].[mes]","[IF].[mes].&amp;["&amp;P$8&amp;"]","[IF].[ano]","[IF].[ano].&amp;["&amp;P$7&amp;"]","[IF].[informacion]","[IF].[informacion].&amp;["&amp;P$9&amp;"]"),0)-AB45</f>
        <v>0</v>
      </c>
      <c r="Q45" s="9">
        <f t="shared" si="138"/>
        <v>0</v>
      </c>
      <c r="R45" s="9">
        <f>(IFERROR(GETPIVOTDATA("[Measures].[Suma de valor]",base!$A$3,"[IF].[departamento_jerarquia2]","[IF].[departamento_jerarquia2].&amp;["&amp;R$5&amp;"]","[IF].[grupo_analisis]","[IF].[grupo_analisis].&amp;["&amp;$B45&amp;"]","[IF].[mes]","[IF].[mes].&amp;["&amp;R$8&amp;"]","[IF].[ano]","[IF].[ano].&amp;["&amp;R$7&amp;"]","[IF].[informacion]","[IF].[informacion].&amp;["&amp;R$9&amp;"]"),0)*IF($B$2="Real",1,IF(R$8&lt;6,6/R$8,1))-AD45)*(1+S45)</f>
        <v>0</v>
      </c>
      <c r="S45" s="116">
        <v>0</v>
      </c>
      <c r="T45" s="12">
        <f t="shared" si="139"/>
        <v>0</v>
      </c>
      <c r="U45" s="116">
        <v>0</v>
      </c>
      <c r="V45" s="12">
        <f t="shared" si="140"/>
        <v>0</v>
      </c>
      <c r="W45" s="116">
        <v>0</v>
      </c>
      <c r="X45" s="119">
        <f t="shared" si="141"/>
        <v>0</v>
      </c>
      <c r="Y45" s="116">
        <v>0</v>
      </c>
      <c r="Z45" s="11"/>
      <c r="AA45" s="9">
        <f>IFERROR(GETPIVOTDATA("[Measures].[Suma de valor]",base!$AN$5,"[IF].[grupo_analisis]","[IF].[grupo_analisis].&amp;["&amp;$B45&amp;"]","[IF].[mes]","[IF].[mes].&amp;["&amp;AA$8&amp;"]","[IF].[ano]","[IF].[ano].&amp;["&amp;AA$7&amp;"]","[IF].[informacion]","[IF].[informacion].&amp;["&amp;AA$9&amp;"]"),0)</f>
        <v>0</v>
      </c>
      <c r="AB45" s="9">
        <f>IFERROR(GETPIVOTDATA("[Measures].[Suma de valor]",base!$AN$5,"[IF].[grupo_analisis]","[IF].[grupo_analisis].&amp;["&amp;$B45&amp;"]","[IF].[mes]","[IF].[mes].&amp;["&amp;AB$8&amp;"]","[IF].[ano]","[IF].[ano].&amp;["&amp;AB$7&amp;"]","[IF].[informacion]","[IF].[informacion].&amp;["&amp;AB$9&amp;"]"),0)</f>
        <v>0</v>
      </c>
      <c r="AC45" s="9">
        <f t="shared" si="142"/>
        <v>0</v>
      </c>
      <c r="AD45" s="9">
        <f>(IFERROR(GETPIVOTDATA("[Measures].[Suma de valor]",base!$AN$5,"[IF].[grupo_analisis]","[IF].[grupo_analisis].&amp;["&amp;$B45&amp;"]","[IF].[mes]","[IF].[mes].&amp;["&amp;AD$8&amp;"]","[IF].[ano]","[IF].[ano].&amp;["&amp;AD$7&amp;"]","[IF].[informacion]","[IF].[informacion].&amp;["&amp;AD$9&amp;"]"),0)*IF($B$2="Real",1,IF(AD$8&lt;6,6/AD$8,1)))*(1+S45)</f>
        <v>0</v>
      </c>
      <c r="AE45" s="116">
        <v>0</v>
      </c>
      <c r="AF45" s="12">
        <f t="shared" si="143"/>
        <v>0</v>
      </c>
      <c r="AG45" s="116">
        <v>0</v>
      </c>
      <c r="AH45" s="12">
        <f t="shared" si="144"/>
        <v>0</v>
      </c>
      <c r="AI45" s="116">
        <v>0</v>
      </c>
      <c r="AJ45" s="119">
        <v>12.88</v>
      </c>
      <c r="AK45" s="116">
        <v>0</v>
      </c>
      <c r="AL45" s="11"/>
      <c r="AM45" s="9">
        <f>IFERROR(GETPIVOTDATA("[Measures].[Suma de valor]",base!$A$3,"[IF].[departamento_jerarquia2]","[IF].[departamento_jerarquia2].&amp;["&amp;AM$5&amp;"]","[IF].[grupo_analisis]","[IF].[grupo_analisis].&amp;["&amp;$B45&amp;"]","[IF].[mes]","[IF].[mes].&amp;["&amp;AM$8&amp;"]","[IF].[ano]","[IF].[ano].&amp;["&amp;AM$7&amp;"]","[IF].[informacion]","[IF].[informacion].&amp;["&amp;AM$9&amp;"]"),0)-BK45</f>
        <v>0</v>
      </c>
      <c r="AN45" s="9">
        <f>IFERROR(GETPIVOTDATA("[Measures].[Suma de valor]",base!$A$3,"[IF].[departamento_jerarquia2]","[IF].[departamento_jerarquia2].&amp;["&amp;AN$5&amp;"]","[IF].[grupo_analisis]","[IF].[grupo_analisis].&amp;["&amp;$B45&amp;"]","[IF].[mes]","[IF].[mes].&amp;["&amp;AN$8&amp;"]","[IF].[ano]","[IF].[ano].&amp;["&amp;AN$7&amp;"]","[IF].[informacion]","[IF].[informacion].&amp;["&amp;AN$9&amp;"]"),0)-BL45</f>
        <v>0</v>
      </c>
      <c r="AO45" s="9">
        <f t="shared" si="146"/>
        <v>0</v>
      </c>
      <c r="AP45" s="9">
        <v>0</v>
      </c>
      <c r="AQ45" s="116">
        <v>0</v>
      </c>
      <c r="AR45" s="12">
        <f t="shared" si="147"/>
        <v>0</v>
      </c>
      <c r="AS45" s="116">
        <v>0</v>
      </c>
      <c r="AT45" s="12">
        <f t="shared" si="119"/>
        <v>0</v>
      </c>
      <c r="AU45" s="116">
        <v>0</v>
      </c>
      <c r="AV45" s="119">
        <f t="shared" si="120"/>
        <v>0</v>
      </c>
      <c r="AW45" s="116">
        <v>0</v>
      </c>
      <c r="AX45" s="11"/>
      <c r="AY45" s="9">
        <f>IFERROR(GETPIVOTDATA("[Measures].[Suma de valor]",base!$A$3,"[IF].[departamento_jerarquia2]","[IF].[departamento_jerarquia2].&amp;["&amp;AY$5&amp;"]","[IF].[grupo_analisis]","[IF].[grupo_analisis].&amp;["&amp;$B45&amp;"]","[IF].[mes]","[IF].[mes].&amp;["&amp;AY$8&amp;"]","[IF].[ano]","[IF].[ano].&amp;["&amp;AY$7&amp;"]","[IF].[informacion]","[IF].[informacion].&amp;["&amp;AY$9&amp;"]"),0)</f>
        <v>0</v>
      </c>
      <c r="AZ45" s="9">
        <f>IFERROR(GETPIVOTDATA("[Measures].[Suma de valor]",base!$A$3,"[IF].[departamento_jerarquia2]","[IF].[departamento_jerarquia2].&amp;["&amp;AZ$5&amp;"]","[IF].[grupo_analisis]","[IF].[grupo_analisis].&amp;["&amp;$B45&amp;"]","[IF].[mes]","[IF].[mes].&amp;["&amp;AZ$8&amp;"]","[IF].[ano]","[IF].[ano].&amp;["&amp;AZ$7&amp;"]","[IF].[informacion]","[IF].[informacion].&amp;["&amp;AZ$9&amp;"]"),0)</f>
        <v>0</v>
      </c>
      <c r="BA45" s="9">
        <f t="shared" si="148"/>
        <v>0</v>
      </c>
      <c r="BB45" s="9">
        <f>(IFERROR(GETPIVOTDATA("[Measures].[Suma de valor]",base!$A$3,"[IF].[departamento_jerarquia2]","[IF].[departamento_jerarquia2].&amp;["&amp;BB$5&amp;"]","[IF].[grupo_analisis]","[IF].[grupo_analisis].&amp;["&amp;$B45&amp;"]","[IF].[mes]","[IF].[mes].&amp;["&amp;BB$8&amp;"]","[IF].[ano]","[IF].[ano].&amp;["&amp;BB$7&amp;"]","[IF].[informacion]","[IF].[informacion].&amp;["&amp;BB$9&amp;"]"),0)*IF($B$2="Real",1,IF(BB$8&lt;6,6/BB$8,1)))*(1+BC45)</f>
        <v>0</v>
      </c>
      <c r="BC45" s="116">
        <v>0</v>
      </c>
      <c r="BD45" s="12">
        <f t="shared" si="149"/>
        <v>0</v>
      </c>
      <c r="BE45" s="116">
        <v>0</v>
      </c>
      <c r="BF45" s="12">
        <f t="shared" si="123"/>
        <v>0</v>
      </c>
      <c r="BG45" s="116">
        <v>0</v>
      </c>
      <c r="BH45" s="119">
        <f t="shared" si="124"/>
        <v>0</v>
      </c>
      <c r="BI45" s="116">
        <v>0</v>
      </c>
      <c r="BJ45" s="11"/>
      <c r="BK45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45&amp;"]"),0)</f>
        <v>0</v>
      </c>
      <c r="BL45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45&amp;"]"),0)</f>
        <v>0</v>
      </c>
      <c r="BM45" s="9">
        <f t="shared" si="150"/>
        <v>0</v>
      </c>
      <c r="BN45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45&amp;"]"),0)*IF($B$2="Real",1,IF(BN$8&lt;6,6/BN$8,1)))*(1+BO45)</f>
        <v>0</v>
      </c>
      <c r="BO45" s="116">
        <v>0</v>
      </c>
      <c r="BP45" s="12">
        <f t="shared" si="151"/>
        <v>0</v>
      </c>
      <c r="BQ45" s="116">
        <v>0</v>
      </c>
      <c r="BR45" s="12">
        <f t="shared" si="127"/>
        <v>0</v>
      </c>
      <c r="BS45" s="116">
        <v>0</v>
      </c>
      <c r="BT45" s="119">
        <f t="shared" si="128"/>
        <v>0</v>
      </c>
      <c r="BU45" s="116">
        <v>0</v>
      </c>
      <c r="BV45" s="11"/>
      <c r="BW45" s="9">
        <f>IFERROR(GETPIVOTDATA("[Measures].[Suma de valor]",base!$A$3,"[IF].[departamento_jerarquia2]","[IF].[departamento_jerarquia2].&amp;["&amp;BW$5&amp;"]","[IF].[grupo_analisis]","[IF].[grupo_analisis].&amp;["&amp;$B45&amp;"]","[IF].[mes]","[IF].[mes].&amp;["&amp;BW$8&amp;"]","[IF].[ano]","[IF].[ano].&amp;["&amp;BW$7&amp;"]","[IF].[informacion]","[IF].[informacion].&amp;["&amp;BW$9&amp;"]"),0)</f>
        <v>0</v>
      </c>
      <c r="BX45" s="9">
        <f>IFERROR(GETPIVOTDATA("[Measures].[Suma de valor]",base!$A$3,"[IF].[departamento_jerarquia2]","[IF].[departamento_jerarquia2].&amp;["&amp;BX$5&amp;"]","[IF].[grupo_analisis]","[IF].[grupo_analisis].&amp;["&amp;$B45&amp;"]","[IF].[mes]","[IF].[mes].&amp;["&amp;BX$8&amp;"]","[IF].[ano]","[IF].[ano].&amp;["&amp;BX$7&amp;"]","[IF].[informacion]","[IF].[informacion].&amp;["&amp;BX$9&amp;"]"),0)</f>
        <v>0</v>
      </c>
      <c r="BY45" s="9">
        <f t="shared" si="152"/>
        <v>0</v>
      </c>
      <c r="BZ45" s="9">
        <f>(IFERROR(GETPIVOTDATA("[Measures].[Suma de valor]",base!$A$3,"[IF].[departamento_jerarquia2]","[IF].[departamento_jerarquia2].&amp;["&amp;BZ$5&amp;"]","[IF].[grupo_analisis]","[IF].[grupo_analisis].&amp;["&amp;$B45&amp;"]","[IF].[mes]","[IF].[mes].&amp;["&amp;BZ$8&amp;"]","[IF].[ano]","[IF].[ano].&amp;["&amp;BZ$7&amp;"]","[IF].[informacion]","[IF].[informacion].&amp;["&amp;BZ$9&amp;"]"),0)*IF($B$2="Real",1,IF(BZ$8&lt;6,6/BZ$8,1)))*(1+CA45)</f>
        <v>0</v>
      </c>
      <c r="CA45" s="116">
        <v>0</v>
      </c>
      <c r="CB45" s="12">
        <f t="shared" si="153"/>
        <v>0</v>
      </c>
      <c r="CC45" s="116">
        <v>0</v>
      </c>
      <c r="CD45" s="12">
        <f t="shared" si="154"/>
        <v>0</v>
      </c>
      <c r="CE45" s="116">
        <v>0</v>
      </c>
      <c r="CF45" s="119">
        <f t="shared" si="131"/>
        <v>0</v>
      </c>
      <c r="CG45" s="116">
        <v>0</v>
      </c>
      <c r="CH45" s="11"/>
      <c r="CI45" s="9"/>
      <c r="CJ45" s="9"/>
      <c r="CK45" s="9"/>
      <c r="CL45" s="9"/>
      <c r="CM45" s="116"/>
      <c r="CN45" s="12"/>
      <c r="CO45" s="116"/>
      <c r="CP45" s="12"/>
      <c r="CQ45" s="116"/>
      <c r="CR45" s="119"/>
      <c r="CS45" s="116"/>
      <c r="CT45" s="11"/>
      <c r="CU45" s="9"/>
      <c r="CV45" s="9"/>
      <c r="CW45" s="9"/>
      <c r="CX45" s="9"/>
      <c r="CY45" s="116"/>
      <c r="CZ45" s="12"/>
      <c r="DA45" s="116"/>
      <c r="DB45" s="12"/>
      <c r="DC45" s="116"/>
      <c r="DD45" s="119"/>
      <c r="DE45" s="116"/>
      <c r="DF45" s="11"/>
      <c r="DG45" s="9">
        <f t="shared" si="132"/>
        <v>0</v>
      </c>
      <c r="DH45" s="12">
        <f t="shared" si="134"/>
        <v>0</v>
      </c>
      <c r="DI45" s="119">
        <f t="shared" si="133"/>
        <v>12.88</v>
      </c>
      <c r="DK45" s="9">
        <f t="shared" si="135"/>
        <v>0</v>
      </c>
      <c r="DL45" s="12">
        <f t="shared" si="135"/>
        <v>0</v>
      </c>
      <c r="DM45" s="119">
        <f t="shared" si="135"/>
        <v>12.88</v>
      </c>
    </row>
    <row r="46" spans="1:117" x14ac:dyDescent="0.25">
      <c r="B46" t="s">
        <v>120</v>
      </c>
      <c r="C46" s="9">
        <f>IFERROR(GETPIVOTDATA("[Measures].[Suma de valor]",base!$A$3,"[IF].[departamento_jerarquia2]","[IF].[departamento_jerarquia2].&amp;["&amp;C$5&amp;"]","[IF].[grupo_analisis]","[IF].[grupo_analisis].&amp;["&amp;$B46&amp;"]","[IF].[mes]","[IF].[mes].&amp;["&amp;C$8&amp;"]","[IF].[ano]","[IF].[ano].&amp;["&amp;C$7&amp;"]","[IF].[informacion]","[IF].[informacion].&amp;["&amp;C$9&amp;"]"),0)</f>
        <v>0</v>
      </c>
      <c r="D46" s="9">
        <f>IFERROR(GETPIVOTDATA("[Measures].[Suma de valor]",base!$A$3,"[IF].[departamento_jerarquia2]","[IF].[departamento_jerarquia2].&amp;["&amp;D$5&amp;"]","[IF].[grupo_analisis]","[IF].[grupo_analisis].&amp;["&amp;$B46&amp;"]","[IF].[mes]","[IF].[mes].&amp;["&amp;D$8&amp;"]","[IF].[ano]","[IF].[ano].&amp;["&amp;D$7&amp;"]","[IF].[informacion]","[IF].[informacion].&amp;["&amp;D$9&amp;"]"),0)</f>
        <v>0</v>
      </c>
      <c r="E46" s="9">
        <f t="shared" si="109"/>
        <v>0</v>
      </c>
      <c r="F46" s="9">
        <f>(IFERROR(GETPIVOTDATA("[Measures].[Suma de valor]",base!$A$3,"[IF].[departamento_jerarquia2]","[IF].[departamento_jerarquia2].&amp;["&amp;F$5&amp;"]","[IF].[grupo_analisis]","[IF].[grupo_analisis].&amp;["&amp;$B46&amp;"]","[IF].[mes]","[IF].[mes].&amp;["&amp;F$8&amp;"]","[IF].[ano]","[IF].[ano].&amp;["&amp;F$7&amp;"]","[IF].[informacion]","[IF].[informacion].&amp;["&amp;F$9&amp;"]"),0)*IF($B$2="Real",1,IF(F$8&lt;6,6/F$8,1)))*(1+G46)</f>
        <v>0</v>
      </c>
      <c r="G46" s="116">
        <v>0</v>
      </c>
      <c r="H46" s="12">
        <f t="shared" si="110"/>
        <v>0</v>
      </c>
      <c r="I46" s="116">
        <v>0</v>
      </c>
      <c r="J46" s="12">
        <f t="shared" si="111"/>
        <v>0</v>
      </c>
      <c r="K46" s="116">
        <v>0</v>
      </c>
      <c r="L46" s="119">
        <f t="shared" si="112"/>
        <v>0</v>
      </c>
      <c r="M46" s="116">
        <v>0</v>
      </c>
      <c r="N46" s="11"/>
      <c r="O46" s="9">
        <f>IFERROR(GETPIVOTDATA("[Measures].[Suma de valor]",base!$A$3,"[IF].[departamento_jerarquia2]","[IF].[departamento_jerarquia2].&amp;["&amp;O$5&amp;"]","[IF].[grupo_analisis]","[IF].[grupo_analisis].&amp;["&amp;$B46&amp;"]","[IF].[mes]","[IF].[mes].&amp;["&amp;O$8&amp;"]","[IF].[ano]","[IF].[ano].&amp;["&amp;O$7&amp;"]","[IF].[informacion]","[IF].[informacion].&amp;["&amp;O$9&amp;"]"),0)-AA46</f>
        <v>0</v>
      </c>
      <c r="P46" s="9">
        <f>IFERROR(GETPIVOTDATA("[Measures].[Suma de valor]",base!$A$3,"[IF].[departamento_jerarquia2]","[IF].[departamento_jerarquia2].&amp;["&amp;P$5&amp;"]","[IF].[grupo_analisis]","[IF].[grupo_analisis].&amp;["&amp;$B46&amp;"]","[IF].[mes]","[IF].[mes].&amp;["&amp;P$8&amp;"]","[IF].[ano]","[IF].[ano].&amp;["&amp;P$7&amp;"]","[IF].[informacion]","[IF].[informacion].&amp;["&amp;P$9&amp;"]"),0)-AB46</f>
        <v>0</v>
      </c>
      <c r="Q46" s="9">
        <f t="shared" si="113"/>
        <v>0</v>
      </c>
      <c r="R46" s="9">
        <f>(IFERROR(GETPIVOTDATA("[Measures].[Suma de valor]",base!$A$3,"[IF].[departamento_jerarquia2]","[IF].[departamento_jerarquia2].&amp;["&amp;R$5&amp;"]","[IF].[grupo_analisis]","[IF].[grupo_analisis].&amp;["&amp;$B46&amp;"]","[IF].[mes]","[IF].[mes].&amp;["&amp;R$8&amp;"]","[IF].[ano]","[IF].[ano].&amp;["&amp;R$7&amp;"]","[IF].[informacion]","[IF].[informacion].&amp;["&amp;R$9&amp;"]"),0)*IF($B$2="Real",1,IF(R$8&lt;6,6/R$8,1))-AD46)*(1+S46)</f>
        <v>0</v>
      </c>
      <c r="S46" s="116">
        <v>0</v>
      </c>
      <c r="T46" s="12">
        <f t="shared" si="114"/>
        <v>0</v>
      </c>
      <c r="U46" s="116">
        <v>0</v>
      </c>
      <c r="V46" s="12">
        <f t="shared" si="140"/>
        <v>0</v>
      </c>
      <c r="W46" s="116">
        <v>0</v>
      </c>
      <c r="X46" s="119">
        <f t="shared" si="141"/>
        <v>0</v>
      </c>
      <c r="Y46" s="116">
        <v>0</v>
      </c>
      <c r="Z46" s="11"/>
      <c r="AA46" s="9">
        <f>IFERROR(GETPIVOTDATA("[Measures].[Suma de valor]",base!$AN$5,"[IF].[grupo_analisis]","[IF].[grupo_analisis].&amp;["&amp;$B46&amp;"]","[IF].[mes]","[IF].[mes].&amp;["&amp;AA$8&amp;"]","[IF].[ano]","[IF].[ano].&amp;["&amp;AA$7&amp;"]","[IF].[informacion]","[IF].[informacion].&amp;["&amp;AA$9&amp;"]"),0)</f>
        <v>4.0279999999999205E-3</v>
      </c>
      <c r="AB46" s="9">
        <f>IFERROR(GETPIVOTDATA("[Measures].[Suma de valor]",base!$AN$5,"[IF].[grupo_analisis]","[IF].[grupo_analisis].&amp;["&amp;$B46&amp;"]","[IF].[mes]","[IF].[mes].&amp;["&amp;AB$8&amp;"]","[IF].[ano]","[IF].[ano].&amp;["&amp;AB$7&amp;"]","[IF].[informacion]","[IF].[informacion].&amp;["&amp;AB$9&amp;"]"),0)</f>
        <v>2.0139999999999603E-3</v>
      </c>
      <c r="AC46" s="9">
        <f t="shared" si="115"/>
        <v>2.0139999999999603E-3</v>
      </c>
      <c r="AD46" s="9">
        <f>(IFERROR(GETPIVOTDATA("[Measures].[Suma de valor]",base!$AN$5,"[IF].[grupo_analisis]","[IF].[grupo_analisis].&amp;["&amp;$B46&amp;"]","[IF].[mes]","[IF].[mes].&amp;["&amp;AD$8&amp;"]","[IF].[ano]","[IF].[ano].&amp;["&amp;AD$7&amp;"]","[IF].[informacion]","[IF].[informacion].&amp;["&amp;AD$9&amp;"]"),0)*IF($B$2="Real",1,IF(AD$8&lt;6,6/AD$8,1)))*(1+S46)</f>
        <v>0</v>
      </c>
      <c r="AE46" s="116">
        <v>0</v>
      </c>
      <c r="AF46" s="12">
        <f t="shared" si="116"/>
        <v>2.0139999999999603E-3</v>
      </c>
      <c r="AG46" s="116">
        <v>0</v>
      </c>
      <c r="AH46" s="12">
        <f t="shared" si="144"/>
        <v>2.0139999999999603E-3</v>
      </c>
      <c r="AI46" s="116">
        <v>0</v>
      </c>
      <c r="AJ46" s="119">
        <v>1.58</v>
      </c>
      <c r="AK46" s="116">
        <v>0</v>
      </c>
      <c r="AL46" s="11"/>
      <c r="AM46" s="9">
        <f>IFERROR(GETPIVOTDATA("[Measures].[Suma de valor]",base!$A$3,"[IF].[departamento_jerarquia2]","[IF].[departamento_jerarquia2].&amp;["&amp;AM$5&amp;"]","[IF].[grupo_analisis]","[IF].[grupo_analisis].&amp;["&amp;$B46&amp;"]","[IF].[mes]","[IF].[mes].&amp;["&amp;AM$8&amp;"]","[IF].[ano]","[IF].[ano].&amp;["&amp;AM$7&amp;"]","[IF].[informacion]","[IF].[informacion].&amp;["&amp;AM$9&amp;"]"),0)-BK46</f>
        <v>0</v>
      </c>
      <c r="AN46" s="9">
        <f>IFERROR(GETPIVOTDATA("[Measures].[Suma de valor]",base!$A$3,"[IF].[departamento_jerarquia2]","[IF].[departamento_jerarquia2].&amp;["&amp;AN$5&amp;"]","[IF].[grupo_analisis]","[IF].[grupo_analisis].&amp;["&amp;$B46&amp;"]","[IF].[mes]","[IF].[mes].&amp;["&amp;AN$8&amp;"]","[IF].[ano]","[IF].[ano].&amp;["&amp;AN$7&amp;"]","[IF].[informacion]","[IF].[informacion].&amp;["&amp;AN$9&amp;"]"),0)-BL46</f>
        <v>0</v>
      </c>
      <c r="AO46" s="9">
        <f t="shared" si="117"/>
        <v>0</v>
      </c>
      <c r="AP46" s="9">
        <v>0</v>
      </c>
      <c r="AQ46" s="116">
        <v>0</v>
      </c>
      <c r="AR46" s="12">
        <f t="shared" si="118"/>
        <v>0</v>
      </c>
      <c r="AS46" s="116">
        <v>0</v>
      </c>
      <c r="AT46" s="12">
        <f t="shared" si="119"/>
        <v>0</v>
      </c>
      <c r="AU46" s="116">
        <v>0</v>
      </c>
      <c r="AV46" s="119">
        <f t="shared" si="120"/>
        <v>0</v>
      </c>
      <c r="AW46" s="116">
        <v>0</v>
      </c>
      <c r="AX46" s="11"/>
      <c r="AY46" s="9">
        <f>IFERROR(GETPIVOTDATA("[Measures].[Suma de valor]",base!$A$3,"[IF].[departamento_jerarquia2]","[IF].[departamento_jerarquia2].&amp;["&amp;AY$5&amp;"]","[IF].[grupo_analisis]","[IF].[grupo_analisis].&amp;["&amp;$B46&amp;"]","[IF].[mes]","[IF].[mes].&amp;["&amp;AY$8&amp;"]","[IF].[ano]","[IF].[ano].&amp;["&amp;AY$7&amp;"]","[IF].[informacion]","[IF].[informacion].&amp;["&amp;AY$9&amp;"]"),0)</f>
        <v>0</v>
      </c>
      <c r="AZ46" s="9">
        <f>IFERROR(GETPIVOTDATA("[Measures].[Suma de valor]",base!$A$3,"[IF].[departamento_jerarquia2]","[IF].[departamento_jerarquia2].&amp;["&amp;AZ$5&amp;"]","[IF].[grupo_analisis]","[IF].[grupo_analisis].&amp;["&amp;$B46&amp;"]","[IF].[mes]","[IF].[mes].&amp;["&amp;AZ$8&amp;"]","[IF].[ano]","[IF].[ano].&amp;["&amp;AZ$7&amp;"]","[IF].[informacion]","[IF].[informacion].&amp;["&amp;AZ$9&amp;"]"),0)</f>
        <v>0</v>
      </c>
      <c r="BA46" s="9">
        <f t="shared" si="121"/>
        <v>0</v>
      </c>
      <c r="BB46" s="9">
        <f>(IFERROR(GETPIVOTDATA("[Measures].[Suma de valor]",base!$A$3,"[IF].[departamento_jerarquia2]","[IF].[departamento_jerarquia2].&amp;["&amp;BB$5&amp;"]","[IF].[grupo_analisis]","[IF].[grupo_analisis].&amp;["&amp;$B46&amp;"]","[IF].[mes]","[IF].[mes].&amp;["&amp;BB$8&amp;"]","[IF].[ano]","[IF].[ano].&amp;["&amp;BB$7&amp;"]","[IF].[informacion]","[IF].[informacion].&amp;["&amp;BB$9&amp;"]"),0)*IF($B$2="Real",1,IF(BB$8&lt;6,6/BB$8,1)))*(1+BC46)</f>
        <v>0</v>
      </c>
      <c r="BC46" s="116">
        <v>0</v>
      </c>
      <c r="BD46" s="12">
        <f t="shared" si="122"/>
        <v>0</v>
      </c>
      <c r="BE46" s="116">
        <v>0</v>
      </c>
      <c r="BF46" s="12">
        <f t="shared" si="123"/>
        <v>0</v>
      </c>
      <c r="BG46" s="116">
        <v>0</v>
      </c>
      <c r="BH46" s="119">
        <f t="shared" si="124"/>
        <v>0</v>
      </c>
      <c r="BI46" s="116">
        <v>0</v>
      </c>
      <c r="BJ46" s="11"/>
      <c r="BK46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46&amp;"]"),0)</f>
        <v>0</v>
      </c>
      <c r="BL46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46&amp;"]"),0)</f>
        <v>0</v>
      </c>
      <c r="BM46" s="9">
        <f t="shared" si="125"/>
        <v>0</v>
      </c>
      <c r="BN46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46&amp;"]"),0)*IF($B$2="Real",1,IF(BN$8&lt;6,6/BN$8,1)))*(1+BO46)</f>
        <v>0</v>
      </c>
      <c r="BO46" s="116">
        <v>0</v>
      </c>
      <c r="BP46" s="12">
        <f t="shared" si="126"/>
        <v>0</v>
      </c>
      <c r="BQ46" s="116">
        <v>0</v>
      </c>
      <c r="BR46" s="12">
        <f t="shared" si="127"/>
        <v>0</v>
      </c>
      <c r="BS46" s="116">
        <v>0</v>
      </c>
      <c r="BT46" s="119">
        <f t="shared" si="128"/>
        <v>0</v>
      </c>
      <c r="BU46" s="116">
        <v>0</v>
      </c>
      <c r="BV46" s="11"/>
      <c r="BW46" s="9">
        <f>IFERROR(GETPIVOTDATA("[Measures].[Suma de valor]",base!$A$3,"[IF].[departamento_jerarquia2]","[IF].[departamento_jerarquia2].&amp;["&amp;BW$5&amp;"]","[IF].[grupo_analisis]","[IF].[grupo_analisis].&amp;["&amp;$B46&amp;"]","[IF].[mes]","[IF].[mes].&amp;["&amp;BW$8&amp;"]","[IF].[ano]","[IF].[ano].&amp;["&amp;BW$7&amp;"]","[IF].[informacion]","[IF].[informacion].&amp;["&amp;BW$9&amp;"]"),0)</f>
        <v>0</v>
      </c>
      <c r="BX46" s="9">
        <f>IFERROR(GETPIVOTDATA("[Measures].[Suma de valor]",base!$A$3,"[IF].[departamento_jerarquia2]","[IF].[departamento_jerarquia2].&amp;["&amp;BX$5&amp;"]","[IF].[grupo_analisis]","[IF].[grupo_analisis].&amp;["&amp;$B46&amp;"]","[IF].[mes]","[IF].[mes].&amp;["&amp;BX$8&amp;"]","[IF].[ano]","[IF].[ano].&amp;["&amp;BX$7&amp;"]","[IF].[informacion]","[IF].[informacion].&amp;["&amp;BX$9&amp;"]"),0)</f>
        <v>0</v>
      </c>
      <c r="BY46" s="9">
        <f t="shared" si="129"/>
        <v>0</v>
      </c>
      <c r="BZ46" s="9">
        <f>(IFERROR(GETPIVOTDATA("[Measures].[Suma de valor]",base!$A$3,"[IF].[departamento_jerarquia2]","[IF].[departamento_jerarquia2].&amp;["&amp;BZ$5&amp;"]","[IF].[grupo_analisis]","[IF].[grupo_analisis].&amp;["&amp;$B46&amp;"]","[IF].[mes]","[IF].[mes].&amp;["&amp;BZ$8&amp;"]","[IF].[ano]","[IF].[ano].&amp;["&amp;BZ$7&amp;"]","[IF].[informacion]","[IF].[informacion].&amp;["&amp;BZ$9&amp;"]"),0)*IF($B$2="Real",1,IF(BZ$8&lt;6,6/BZ$8,1)))*(1+CA46)</f>
        <v>0</v>
      </c>
      <c r="CA46" s="116">
        <v>0</v>
      </c>
      <c r="CB46" s="12">
        <f t="shared" si="130"/>
        <v>0</v>
      </c>
      <c r="CC46" s="116">
        <v>0</v>
      </c>
      <c r="CD46" s="12">
        <f t="shared" si="154"/>
        <v>0</v>
      </c>
      <c r="CE46" s="116">
        <v>0</v>
      </c>
      <c r="CF46" s="119">
        <f t="shared" si="131"/>
        <v>0</v>
      </c>
      <c r="CG46" s="116">
        <v>0</v>
      </c>
      <c r="CH46" s="11"/>
      <c r="CI46" s="9"/>
      <c r="CJ46" s="9"/>
      <c r="CK46" s="9"/>
      <c r="CL46" s="9"/>
      <c r="CM46" s="116"/>
      <c r="CN46" s="12"/>
      <c r="CO46" s="116"/>
      <c r="CP46" s="12"/>
      <c r="CQ46" s="116"/>
      <c r="CR46" s="119"/>
      <c r="CS46" s="116"/>
      <c r="CT46" s="11"/>
      <c r="CU46" s="9"/>
      <c r="CV46" s="9"/>
      <c r="CW46" s="9"/>
      <c r="CX46" s="9"/>
      <c r="CY46" s="116"/>
      <c r="CZ46" s="12"/>
      <c r="DA46" s="116"/>
      <c r="DB46" s="12"/>
      <c r="DC46" s="116"/>
      <c r="DD46" s="119"/>
      <c r="DE46" s="116"/>
      <c r="DF46" s="11"/>
      <c r="DG46" s="9">
        <f t="shared" si="132"/>
        <v>4.0279999999999205E-3</v>
      </c>
      <c r="DH46" s="12">
        <f t="shared" si="134"/>
        <v>2.0139999999999603E-3</v>
      </c>
      <c r="DI46" s="119">
        <f t="shared" si="133"/>
        <v>1.58</v>
      </c>
      <c r="DK46" s="9">
        <f t="shared" si="135"/>
        <v>4.0279999999999205E-3</v>
      </c>
      <c r="DL46" s="12">
        <f t="shared" si="135"/>
        <v>2.0139999999999603E-3</v>
      </c>
      <c r="DM46" s="119">
        <f t="shared" si="135"/>
        <v>1.58</v>
      </c>
    </row>
    <row r="47" spans="1:117" x14ac:dyDescent="0.25">
      <c r="B47" s="8" t="s">
        <v>109</v>
      </c>
      <c r="C47" s="10">
        <f>SUM(C48:C66)</f>
        <v>0</v>
      </c>
      <c r="D47" s="10">
        <f>SUM(D48:D66)</f>
        <v>0</v>
      </c>
      <c r="E47" s="10">
        <f>SUM(E48:E66)</f>
        <v>0</v>
      </c>
      <c r="F47" s="9">
        <f>SUM(F48:F66)</f>
        <v>0</v>
      </c>
      <c r="G47" s="116">
        <v>0</v>
      </c>
      <c r="H47" s="13">
        <f t="shared" si="110"/>
        <v>0</v>
      </c>
      <c r="I47" s="116">
        <v>0</v>
      </c>
      <c r="J47" s="13">
        <f t="shared" si="111"/>
        <v>0</v>
      </c>
      <c r="K47" s="116">
        <v>0</v>
      </c>
      <c r="L47" s="120">
        <f>SUM(L48:L66)</f>
        <v>0</v>
      </c>
      <c r="M47" s="116">
        <v>0</v>
      </c>
      <c r="N47" s="111"/>
      <c r="O47" s="10">
        <f t="shared" ref="O47:DH47" si="155">SUM(O48:O66)</f>
        <v>123.4519235434706</v>
      </c>
      <c r="P47" s="10">
        <f t="shared" ref="P47" si="156">SUM(P48:P66)</f>
        <v>60.652676995133433</v>
      </c>
      <c r="Q47" s="10">
        <f>SUM(Q48:Q66)</f>
        <v>62.799246548337152</v>
      </c>
      <c r="R47" s="9">
        <f>SUM(R48:R66)</f>
        <v>18.178420799999994</v>
      </c>
      <c r="S47" s="116">
        <v>0</v>
      </c>
      <c r="T47" s="13">
        <f t="shared" si="114"/>
        <v>62.799246548337152</v>
      </c>
      <c r="U47" s="116">
        <v>0</v>
      </c>
      <c r="V47" s="13">
        <v>56</v>
      </c>
      <c r="W47" s="116">
        <v>0</v>
      </c>
      <c r="X47" s="120">
        <v>69</v>
      </c>
      <c r="Y47" s="116">
        <v>0</v>
      </c>
      <c r="Z47" s="111"/>
      <c r="AA47" s="10">
        <f t="shared" si="155"/>
        <v>519.72215495881233</v>
      </c>
      <c r="AB47" s="10">
        <f t="shared" ref="AB47" si="157">SUM(AB48:AB66)</f>
        <v>256.77028682540669</v>
      </c>
      <c r="AC47" s="10">
        <f>SUM(AC48:AC66)</f>
        <v>262.95186813340558</v>
      </c>
      <c r="AD47" s="9">
        <f t="shared" ref="AD47" si="158">SUM(AD48:AD66)</f>
        <v>235.19037839999999</v>
      </c>
      <c r="AE47" s="116">
        <v>0</v>
      </c>
      <c r="AF47" s="13">
        <f t="shared" si="116"/>
        <v>262.95186813340558</v>
      </c>
      <c r="AG47" s="116">
        <v>0</v>
      </c>
      <c r="AH47" s="13">
        <v>510</v>
      </c>
      <c r="AI47" s="116">
        <v>0</v>
      </c>
      <c r="AJ47" s="120">
        <v>512</v>
      </c>
      <c r="AK47" s="116">
        <v>0</v>
      </c>
      <c r="AL47" s="111"/>
      <c r="AM47" s="10">
        <f t="shared" si="155"/>
        <v>183.77698983001198</v>
      </c>
      <c r="AN47" s="10">
        <f t="shared" ref="AN47" si="159">SUM(AN48:AN66)</f>
        <v>87.529804999999996</v>
      </c>
      <c r="AO47" s="10">
        <f>SUM(AO48:AO66)</f>
        <v>96.247184830011975</v>
      </c>
      <c r="AP47" s="9">
        <v>80.5875372</v>
      </c>
      <c r="AQ47" s="116">
        <v>0</v>
      </c>
      <c r="AR47" s="13">
        <f t="shared" si="118"/>
        <v>96.247184830011975</v>
      </c>
      <c r="AS47" s="116">
        <v>0</v>
      </c>
      <c r="AT47" s="13">
        <f t="shared" si="119"/>
        <v>176.83472203001196</v>
      </c>
      <c r="AU47" s="116">
        <v>0</v>
      </c>
      <c r="AV47" s="120">
        <f>SUM(AV48:AV66)</f>
        <v>176.42115453001199</v>
      </c>
      <c r="AW47" s="116">
        <v>0</v>
      </c>
      <c r="AX47" s="111"/>
      <c r="AY47" s="10">
        <f t="shared" si="155"/>
        <v>0</v>
      </c>
      <c r="AZ47" s="10">
        <f t="shared" ref="AZ47" si="160">SUM(AZ48:AZ66)</f>
        <v>0</v>
      </c>
      <c r="BA47" s="10">
        <f>SUM(BA48:BA66)</f>
        <v>0</v>
      </c>
      <c r="BB47" s="9">
        <f>SUM(BB48:BB66)</f>
        <v>0</v>
      </c>
      <c r="BC47" s="116">
        <v>0</v>
      </c>
      <c r="BD47" s="13">
        <f t="shared" si="122"/>
        <v>0</v>
      </c>
      <c r="BE47" s="116">
        <v>0</v>
      </c>
      <c r="BF47" s="13">
        <f t="shared" si="123"/>
        <v>0</v>
      </c>
      <c r="BG47" s="116">
        <v>0</v>
      </c>
      <c r="BH47" s="120">
        <f>SUM(BH48:BH66)</f>
        <v>0</v>
      </c>
      <c r="BI47" s="116">
        <v>0</v>
      </c>
      <c r="BJ47" s="111"/>
      <c r="BK47" s="10">
        <f t="shared" si="155"/>
        <v>0</v>
      </c>
      <c r="BL47" s="10">
        <f t="shared" ref="BL47" si="161">SUM(BL48:BL66)</f>
        <v>0</v>
      </c>
      <c r="BM47" s="10">
        <f>SUM(BM48:BM66)</f>
        <v>0</v>
      </c>
      <c r="BN47" s="9">
        <f t="shared" ref="BN47" si="162">SUM(BN48:BN66)</f>
        <v>0</v>
      </c>
      <c r="BO47" s="116">
        <v>0</v>
      </c>
      <c r="BP47" s="13">
        <f t="shared" si="126"/>
        <v>0</v>
      </c>
      <c r="BQ47" s="116">
        <v>0</v>
      </c>
      <c r="BR47" s="13">
        <f t="shared" si="127"/>
        <v>0</v>
      </c>
      <c r="BS47" s="116">
        <v>0</v>
      </c>
      <c r="BT47" s="120">
        <f>SUM(BT48:BT66)</f>
        <v>2.9522185274999999</v>
      </c>
      <c r="BU47" s="116">
        <v>0</v>
      </c>
      <c r="BV47" s="111"/>
      <c r="BW47" s="10">
        <f t="shared" si="155"/>
        <v>102</v>
      </c>
      <c r="BX47" s="10">
        <f t="shared" ref="BX47" si="163">SUM(BX48:BX66)</f>
        <v>35</v>
      </c>
      <c r="BY47" s="10">
        <f>SUM(BY48:BY66)</f>
        <v>67</v>
      </c>
      <c r="BZ47" s="9">
        <f>SUM(BZ48:BZ66)</f>
        <v>23.044479599999999</v>
      </c>
      <c r="CA47" s="116">
        <v>0</v>
      </c>
      <c r="CB47" s="13">
        <f t="shared" si="130"/>
        <v>67</v>
      </c>
      <c r="CC47" s="116">
        <v>0</v>
      </c>
      <c r="CD47" s="13">
        <v>71.400000000000006</v>
      </c>
      <c r="CE47" s="116">
        <v>0</v>
      </c>
      <c r="CF47" s="120">
        <f>SUM(CF48:CF66)</f>
        <v>117.2313056061973</v>
      </c>
      <c r="CG47" s="116">
        <v>0</v>
      </c>
      <c r="CH47" s="111"/>
      <c r="CI47" s="10"/>
      <c r="CJ47" s="10"/>
      <c r="CK47" s="10"/>
      <c r="CL47" s="10"/>
      <c r="CM47" s="116"/>
      <c r="CN47" s="13"/>
      <c r="CO47" s="116"/>
      <c r="CP47" s="13"/>
      <c r="CQ47" s="116"/>
      <c r="CR47" s="120"/>
      <c r="CS47" s="116"/>
      <c r="CT47" s="111"/>
      <c r="CU47" s="10"/>
      <c r="CV47" s="10"/>
      <c r="CW47" s="10"/>
      <c r="CX47" s="10"/>
      <c r="CY47" s="116"/>
      <c r="CZ47" s="13"/>
      <c r="DA47" s="116"/>
      <c r="DB47" s="13"/>
      <c r="DC47" s="116"/>
      <c r="DD47" s="120"/>
      <c r="DE47" s="116"/>
      <c r="DF47" s="111"/>
      <c r="DG47" s="10">
        <f t="shared" si="155"/>
        <v>928.95106833229488</v>
      </c>
      <c r="DH47" s="13">
        <f t="shared" si="155"/>
        <v>845.04106951257802</v>
      </c>
      <c r="DI47" s="120">
        <f>SUM(DI48:DI66)</f>
        <v>880.00647642073159</v>
      </c>
      <c r="DJ47" s="152"/>
      <c r="DK47" s="10">
        <f t="shared" ref="DK47:DL47" si="164">SUM(DK48:DK66)</f>
        <v>918.45106833229488</v>
      </c>
      <c r="DL47" s="13">
        <f t="shared" si="164"/>
        <v>839.029469112578</v>
      </c>
      <c r="DM47" s="120">
        <f>SUM(DM48:DM66)</f>
        <v>866.74487602073168</v>
      </c>
    </row>
    <row r="48" spans="1:117" outlineLevel="1" x14ac:dyDescent="0.25">
      <c r="A48" t="s">
        <v>146</v>
      </c>
      <c r="B48" t="s">
        <v>181</v>
      </c>
      <c r="C48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48&amp;"]"),0)</f>
        <v>0</v>
      </c>
      <c r="D48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48&amp;"]"),0)</f>
        <v>0</v>
      </c>
      <c r="E48" s="11">
        <f t="shared" ref="E48:E73" si="165">C48-D48</f>
        <v>0</v>
      </c>
      <c r="F48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48&amp;"]"),0)*IF($B$2="Real",1,IF(F$8&lt;6,6/F$8,1)))*(1+G48)</f>
        <v>0</v>
      </c>
      <c r="G48" s="116">
        <v>0</v>
      </c>
      <c r="H48" s="11">
        <f t="shared" si="110"/>
        <v>0</v>
      </c>
      <c r="I48" s="116">
        <v>0</v>
      </c>
      <c r="J48" s="11">
        <f t="shared" si="111"/>
        <v>0</v>
      </c>
      <c r="K48" s="116">
        <v>0</v>
      </c>
      <c r="L48" s="11">
        <f t="shared" ref="L48:L73" si="166">J48*(1+M48)</f>
        <v>0</v>
      </c>
      <c r="M48" s="116">
        <v>0</v>
      </c>
      <c r="N48" s="11"/>
      <c r="O48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48&amp;"]"),0)-AA48</f>
        <v>56.631803910966894</v>
      </c>
      <c r="P48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48&amp;"]"),0)-AB48</f>
        <v>28.315901955483447</v>
      </c>
      <c r="Q48" s="11">
        <f t="shared" ref="Q48:Q73" si="167">O48-P48</f>
        <v>28.315901955483447</v>
      </c>
      <c r="R48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48&amp;"]"),0)*IF($B$2="Real",1,IF(R$8&lt;6,6/R$8,1))-AD48)*(1+S48)</f>
        <v>0</v>
      </c>
      <c r="S48" s="116">
        <v>0</v>
      </c>
      <c r="T48" s="11">
        <f t="shared" si="114"/>
        <v>28.315901955483447</v>
      </c>
      <c r="U48" s="116">
        <v>0</v>
      </c>
      <c r="V48" s="11">
        <f t="shared" si="140"/>
        <v>28.315901955483447</v>
      </c>
      <c r="W48" s="116">
        <v>0</v>
      </c>
      <c r="X48" s="11">
        <f t="shared" ref="X48:X73" si="168">V48*(1+Y48)</f>
        <v>28.315901955483447</v>
      </c>
      <c r="Y48" s="116">
        <v>0</v>
      </c>
      <c r="Z48" s="11"/>
      <c r="AA48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valor]",base!$AW$5,"[IF].[mes]","[IF].[mes].&amp;["&amp;AA$8&amp;"]","[IF].[ano]","[IF].[ano].&amp;["&amp;AA$7&amp;"]","[IF].[informacion]","[IF].[informacion].&amp;["&amp;AA$9&amp;"]","[IF].[cuenta_ppto]","[IF].[cuenta_ppto].&amp;["&amp;$A48&amp;"]"),0)</f>
        <v>106.234374917935</v>
      </c>
      <c r="AB48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valor]",base!$AW$5,"[IF].[mes]","[IF].[mes].&amp;["&amp;AB$8&amp;"]","[IF].[ano]","[IF].[ano].&amp;["&amp;AB$7&amp;"]","[IF].[informacion]","[IF].[informacion].&amp;["&amp;AB$9&amp;"]","[IF].[cuenta_ppto]","[IF].[cuenta_ppto].&amp;["&amp;$A48&amp;"]"),0)</f>
        <v>53.1171874589675</v>
      </c>
      <c r="AC48" s="11">
        <f t="shared" ref="AC48:AC73" si="169">AA48-AB48</f>
        <v>53.1171874589675</v>
      </c>
      <c r="AD48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48&amp;"]"),0)*IF($B$2="Real",1,IF(AD$8&lt;6,6/AD$8,1)))*(1+S46)</f>
        <v>39.958887599999997</v>
      </c>
      <c r="AE48" s="116">
        <v>0</v>
      </c>
      <c r="AF48" s="11">
        <f t="shared" si="116"/>
        <v>53.1171874589675</v>
      </c>
      <c r="AG48" s="116">
        <v>0</v>
      </c>
      <c r="AH48" s="11">
        <v>100</v>
      </c>
      <c r="AI48" s="116">
        <v>0</v>
      </c>
      <c r="AJ48" s="11">
        <v>102</v>
      </c>
      <c r="AK48" s="116">
        <v>0</v>
      </c>
      <c r="AL48" s="11"/>
      <c r="AM48" s="11">
        <f>IFERROR(GETPIVOTDATA("[Measures].[Suma de valor]",base!$K$3,"[IF].[departamento_jerarquia2]","[IF].[departamento_jerarquia2].&amp;["&amp;AM$5&amp;"]","[IF].[mes]","[IF].[mes].&amp;["&amp;AM$8&amp;"]","[IF].[ano]","[IF].[ano].&amp;["&amp;AM$7&amp;"]","[IF].[informacion]","[IF].[informacion].&amp;["&amp;AM$9&amp;"]","[IF].[cuenta_ppto]","[IF].[cuenta_ppto].&amp;["&amp;$A48&amp;"]"),0)-BK48</f>
        <v>0</v>
      </c>
      <c r="AN48" s="11">
        <f>IFERROR(GETPIVOTDATA("[Measures].[Suma de valor]",base!$K$3,"[IF].[departamento_jerarquia2]","[IF].[departamento_jerarquia2].&amp;["&amp;AN$5&amp;"]","[IF].[mes]","[IF].[mes].&amp;["&amp;AN$8&amp;"]","[IF].[ano]","[IF].[ano].&amp;["&amp;AN$7&amp;"]","[IF].[informacion]","[IF].[informacion].&amp;["&amp;AN$9&amp;"]","[IF].[cuenta_ppto]","[IF].[cuenta_ppto].&amp;["&amp;$A48&amp;"]"),0)-BL48</f>
        <v>0</v>
      </c>
      <c r="AO48" s="11">
        <f t="shared" ref="AO48:AO66" si="170">AM48-AN48</f>
        <v>0</v>
      </c>
      <c r="AP48" s="3">
        <v>0</v>
      </c>
      <c r="AQ48" s="116">
        <v>0</v>
      </c>
      <c r="AR48" s="11">
        <f t="shared" si="118"/>
        <v>0</v>
      </c>
      <c r="AS48" s="116">
        <v>0</v>
      </c>
      <c r="AT48" s="11">
        <f t="shared" si="119"/>
        <v>0</v>
      </c>
      <c r="AU48" s="116">
        <v>0</v>
      </c>
      <c r="AV48" s="11">
        <f t="shared" ref="AV48:AV73" si="171">AT48*(1+AW48)</f>
        <v>0</v>
      </c>
      <c r="AW48" s="116">
        <v>0</v>
      </c>
      <c r="AX48" s="11"/>
      <c r="AY48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48&amp;"]"),0)</f>
        <v>0</v>
      </c>
      <c r="AZ48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48&amp;"]"),0)</f>
        <v>0</v>
      </c>
      <c r="BA48" s="11">
        <f t="shared" ref="BA48:BA73" si="172">AY48-AZ48</f>
        <v>0</v>
      </c>
      <c r="BB48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INTERNOS]"),0)*IF($B$2="Real",1,IF(BB$8&lt;6,6/BB$8,1)))*(1+BC48)</f>
        <v>0</v>
      </c>
      <c r="BC48" s="116">
        <v>0</v>
      </c>
      <c r="BD48" s="11">
        <f t="shared" si="122"/>
        <v>0</v>
      </c>
      <c r="BE48" s="116">
        <v>0</v>
      </c>
      <c r="BF48" s="11">
        <f t="shared" si="123"/>
        <v>0</v>
      </c>
      <c r="BG48" s="116">
        <v>0</v>
      </c>
      <c r="BH48" s="11">
        <f t="shared" ref="BH48:BH73" si="173">BF48*(1+BI48)</f>
        <v>0</v>
      </c>
      <c r="BI48" s="116">
        <v>0</v>
      </c>
      <c r="BJ48" s="11"/>
      <c r="BK48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48&amp;"]"),0)</f>
        <v>0</v>
      </c>
      <c r="BL48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48&amp;"]"),0)</f>
        <v>0</v>
      </c>
      <c r="BM48" s="11">
        <f t="shared" ref="BM48:BM73" si="174">BK48-BL48</f>
        <v>0</v>
      </c>
      <c r="BN48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48&amp;"]"),0)*IF($B$2="Real",1,IF(BN$8&lt;6,6/BN$8,1)))*(1+BO48)</f>
        <v>0</v>
      </c>
      <c r="BO48" s="116">
        <v>0</v>
      </c>
      <c r="BP48" s="11">
        <f t="shared" si="126"/>
        <v>0</v>
      </c>
      <c r="BQ48" s="116">
        <v>0</v>
      </c>
      <c r="BR48" s="11">
        <f t="shared" si="127"/>
        <v>0</v>
      </c>
      <c r="BS48" s="116">
        <v>0</v>
      </c>
      <c r="BT48" s="11">
        <f t="shared" ref="BT48:BT73" si="175">BR48*(1+BU48)</f>
        <v>0</v>
      </c>
      <c r="BU48" s="116">
        <v>0</v>
      </c>
      <c r="BV48" s="11"/>
      <c r="BW48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48&amp;"]"),0)</f>
        <v>0</v>
      </c>
      <c r="BX48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48&amp;"]"),0)</f>
        <v>0</v>
      </c>
      <c r="BY48" s="11">
        <f t="shared" ref="BY48:BY73" si="176">BW48-BX48</f>
        <v>0</v>
      </c>
      <c r="BZ48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48&amp;"]"),0)*IF($B$2="Real",1,IF(BZ$8&lt;6,6/BZ$8,1)))*(1+CA48)</f>
        <v>0</v>
      </c>
      <c r="CA48" s="116">
        <v>0</v>
      </c>
      <c r="CB48" s="11">
        <f t="shared" si="130"/>
        <v>0</v>
      </c>
      <c r="CC48" s="116">
        <v>0</v>
      </c>
      <c r="CD48" s="11">
        <f t="shared" si="154"/>
        <v>0</v>
      </c>
      <c r="CE48" s="116">
        <v>0</v>
      </c>
      <c r="CF48" s="11">
        <f t="shared" ref="CF48:CF73" si="177">CD48*(1+CG48)</f>
        <v>0</v>
      </c>
      <c r="CG48" s="116">
        <v>0</v>
      </c>
      <c r="CH48" s="11"/>
      <c r="CI48" s="11"/>
      <c r="CJ48" s="11"/>
      <c r="CK48" s="11"/>
      <c r="CL48" s="11"/>
      <c r="CM48" s="116"/>
      <c r="CN48" s="11"/>
      <c r="CO48" s="116"/>
      <c r="CP48" s="11"/>
      <c r="CQ48" s="116"/>
      <c r="CR48" s="11"/>
      <c r="CS48" s="116"/>
      <c r="CT48" s="11"/>
      <c r="CU48" s="11"/>
      <c r="CV48" s="11"/>
      <c r="CW48" s="11"/>
      <c r="CX48" s="11"/>
      <c r="CY48" s="116"/>
      <c r="CZ48" s="11"/>
      <c r="DA48" s="116"/>
      <c r="DB48" s="11"/>
      <c r="DC48" s="116"/>
      <c r="DD48" s="11"/>
      <c r="DE48" s="116"/>
      <c r="DF48" s="11"/>
      <c r="DG48" s="9">
        <f t="shared" ref="DG48:DG73" si="178">C48+O48+AA48+AM48+AY48+BK48+BW48+CI48+CU48</f>
        <v>162.86617882890189</v>
      </c>
      <c r="DH48" s="3">
        <f t="shared" ref="DH48:DH73" si="179">J48+V48+AH48+AT48+BF48+BR48+CD48+CP48+DB48</f>
        <v>128.31590195548344</v>
      </c>
      <c r="DI48" s="119">
        <f>L48+X48+AJ48+AV48+BH48+BT48+CF48+CR48+DD48</f>
        <v>130.31590195548344</v>
      </c>
      <c r="DK48" s="11">
        <f>(DG48+DG50-DG22)</f>
        <v>162.86617882890189</v>
      </c>
      <c r="DL48" s="11">
        <f>(DH48+DH50-DH22)</f>
        <v>128.31590195548344</v>
      </c>
      <c r="DM48" s="11">
        <f>(DI48+DI50-DI22)</f>
        <v>130.31590195548344</v>
      </c>
    </row>
    <row r="49" spans="1:117" outlineLevel="1" x14ac:dyDescent="0.25">
      <c r="A49" t="s">
        <v>147</v>
      </c>
      <c r="B49" t="s">
        <v>182</v>
      </c>
      <c r="C49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49&amp;"]"),0)</f>
        <v>0</v>
      </c>
      <c r="D49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49&amp;"]"),0)</f>
        <v>0</v>
      </c>
      <c r="E49" s="11">
        <f t="shared" si="165"/>
        <v>0</v>
      </c>
      <c r="F49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49&amp;"]"),0)*IF($B$2="Real",1,IF(F$8&lt;6,6/F$8,1)))*(1+G49)</f>
        <v>0</v>
      </c>
      <c r="G49" s="116">
        <v>0</v>
      </c>
      <c r="H49" s="11">
        <f t="shared" si="110"/>
        <v>0</v>
      </c>
      <c r="I49" s="116">
        <v>0</v>
      </c>
      <c r="J49" s="11">
        <f t="shared" si="111"/>
        <v>0</v>
      </c>
      <c r="K49" s="116">
        <v>0</v>
      </c>
      <c r="L49" s="11">
        <f t="shared" si="166"/>
        <v>0</v>
      </c>
      <c r="M49" s="116">
        <v>0</v>
      </c>
      <c r="N49" s="11"/>
      <c r="O49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49&amp;"]"),0)-AA49</f>
        <v>0</v>
      </c>
      <c r="P49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49&amp;"]"),0)-AB49</f>
        <v>0</v>
      </c>
      <c r="Q49" s="11">
        <f t="shared" si="167"/>
        <v>0</v>
      </c>
      <c r="R49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49&amp;"]"),0)*IF($B$2="Real",1,IF(R$8&lt;6,6/R$8,1))-AD49)*(1+S49)</f>
        <v>0</v>
      </c>
      <c r="S49" s="116">
        <v>0</v>
      </c>
      <c r="T49" s="11">
        <f t="shared" si="114"/>
        <v>0</v>
      </c>
      <c r="U49" s="116">
        <v>0</v>
      </c>
      <c r="V49" s="11">
        <f t="shared" si="140"/>
        <v>0</v>
      </c>
      <c r="W49" s="116">
        <v>0</v>
      </c>
      <c r="X49" s="11">
        <f t="shared" si="168"/>
        <v>0</v>
      </c>
      <c r="Y49" s="116">
        <v>0</v>
      </c>
      <c r="Z49" s="11"/>
      <c r="AA49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valor]",base!$AW$5,"[IF].[mes]","[IF].[mes].&amp;["&amp;AA$8&amp;"]","[IF].[ano]","[IF].[ano].&amp;["&amp;AA$7&amp;"]","[IF].[informacion]","[IF].[informacion].&amp;["&amp;AA$9&amp;"]","[IF].[cuenta_ppto]","[IF].[cuenta_ppto].&amp;["&amp;$A49&amp;"]"),0)</f>
        <v>0</v>
      </c>
      <c r="AB49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valor]",base!$AW$5,"[IF].[mes]","[IF].[mes].&amp;["&amp;AB$8&amp;"]","[IF].[ano]","[IF].[ano].&amp;["&amp;AB$7&amp;"]","[IF].[informacion]","[IF].[informacion].&amp;["&amp;AB$9&amp;"]","[IF].[cuenta_ppto]","[IF].[cuenta_ppto].&amp;["&amp;$A49&amp;"]"),0)</f>
        <v>0</v>
      </c>
      <c r="AC49" s="11">
        <f t="shared" si="169"/>
        <v>0</v>
      </c>
      <c r="AD49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49&amp;"]"),0)*IF($B$2="Real",1,IF(AD$8&lt;6,6/AD$8,1)))*(1+S47)</f>
        <v>0</v>
      </c>
      <c r="AE49" s="116">
        <v>0</v>
      </c>
      <c r="AF49" s="11">
        <f t="shared" si="116"/>
        <v>0</v>
      </c>
      <c r="AG49" s="116">
        <v>0</v>
      </c>
      <c r="AH49" s="11">
        <f t="shared" si="144"/>
        <v>0</v>
      </c>
      <c r="AI49" s="116">
        <v>0</v>
      </c>
      <c r="AJ49" s="11">
        <f t="shared" ref="AJ49:AJ73" si="180">AH49*(1+AK49)</f>
        <v>0</v>
      </c>
      <c r="AK49" s="116">
        <v>0</v>
      </c>
      <c r="AL49" s="11"/>
      <c r="AM49" s="11">
        <f>IFERROR(GETPIVOTDATA("[Measures].[Suma de valor]",base!$K$3,"[IF].[departamento_jerarquia2]","[IF].[departamento_jerarquia2].&amp;["&amp;AM$5&amp;"]","[IF].[mes]","[IF].[mes].&amp;["&amp;AM$8&amp;"]","[IF].[ano]","[IF].[ano].&amp;["&amp;AM$7&amp;"]","[IF].[informacion]","[IF].[informacion].&amp;["&amp;AM$9&amp;"]","[IF].[cuenta_ppto]","[IF].[cuenta_ppto].&amp;["&amp;$A49&amp;"]"),0)-BK49</f>
        <v>0</v>
      </c>
      <c r="AN49" s="11">
        <f>IFERROR(GETPIVOTDATA("[Measures].[Suma de valor]",base!$K$3,"[IF].[departamento_jerarquia2]","[IF].[departamento_jerarquia2].&amp;["&amp;AN$5&amp;"]","[IF].[mes]","[IF].[mes].&amp;["&amp;AN$8&amp;"]","[IF].[ano]","[IF].[ano].&amp;["&amp;AN$7&amp;"]","[IF].[informacion]","[IF].[informacion].&amp;["&amp;AN$9&amp;"]","[IF].[cuenta_ppto]","[IF].[cuenta_ppto].&amp;["&amp;$A49&amp;"]"),0)-BL49</f>
        <v>0</v>
      </c>
      <c r="AO49" s="11">
        <f t="shared" si="170"/>
        <v>0</v>
      </c>
      <c r="AP49" s="3">
        <v>0</v>
      </c>
      <c r="AQ49" s="116">
        <v>0</v>
      </c>
      <c r="AR49" s="11">
        <f t="shared" si="118"/>
        <v>0</v>
      </c>
      <c r="AS49" s="116">
        <v>0</v>
      </c>
      <c r="AT49" s="11">
        <f t="shared" si="119"/>
        <v>0</v>
      </c>
      <c r="AU49" s="116">
        <v>0</v>
      </c>
      <c r="AV49" s="11">
        <f t="shared" si="171"/>
        <v>0</v>
      </c>
      <c r="AW49" s="116">
        <v>0</v>
      </c>
      <c r="AX49" s="11"/>
      <c r="AY49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49&amp;"]"),0)</f>
        <v>0</v>
      </c>
      <c r="AZ49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49&amp;"]"),0)</f>
        <v>0</v>
      </c>
      <c r="BA49" s="11">
        <f t="shared" si="172"/>
        <v>0</v>
      </c>
      <c r="BB49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INTERNOS]"),0)*IF($B$2="Real",1,IF(BB$8&lt;6,6/BB$8,1)))*(1+BC49)</f>
        <v>0</v>
      </c>
      <c r="BC49" s="116">
        <v>0</v>
      </c>
      <c r="BD49" s="11">
        <f t="shared" si="122"/>
        <v>0</v>
      </c>
      <c r="BE49" s="116">
        <v>0</v>
      </c>
      <c r="BF49" s="11">
        <f t="shared" si="123"/>
        <v>0</v>
      </c>
      <c r="BG49" s="116">
        <v>0</v>
      </c>
      <c r="BH49" s="11">
        <f t="shared" si="173"/>
        <v>0</v>
      </c>
      <c r="BI49" s="116">
        <v>0</v>
      </c>
      <c r="BJ49" s="11"/>
      <c r="BK49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49&amp;"]"),0)</f>
        <v>0</v>
      </c>
      <c r="BL49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49&amp;"]"),0)</f>
        <v>0</v>
      </c>
      <c r="BM49" s="11">
        <f t="shared" si="174"/>
        <v>0</v>
      </c>
      <c r="BN49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49&amp;"]"),0)*IF($B$2="Real",1,IF(BN$8&lt;6,6/BN$8,1)))*(1+BO49)</f>
        <v>0</v>
      </c>
      <c r="BO49" s="116">
        <v>0</v>
      </c>
      <c r="BP49" s="11">
        <f t="shared" si="126"/>
        <v>0</v>
      </c>
      <c r="BQ49" s="116">
        <v>0</v>
      </c>
      <c r="BR49" s="11">
        <f t="shared" si="127"/>
        <v>0</v>
      </c>
      <c r="BS49" s="116">
        <v>0</v>
      </c>
      <c r="BT49" s="11">
        <f t="shared" si="175"/>
        <v>0</v>
      </c>
      <c r="BU49" s="116">
        <v>0</v>
      </c>
      <c r="BV49" s="11"/>
      <c r="BW49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49&amp;"]"),0)</f>
        <v>0</v>
      </c>
      <c r="BX49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49&amp;"]"),0)</f>
        <v>0</v>
      </c>
      <c r="BY49" s="11">
        <f t="shared" si="176"/>
        <v>0</v>
      </c>
      <c r="BZ49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49&amp;"]"),0)*IF($B$2="Real",1,IF(BZ$8&lt;6,6/BZ$8,1)))*(1+CA49)</f>
        <v>0</v>
      </c>
      <c r="CA49" s="116">
        <v>0</v>
      </c>
      <c r="CB49" s="11">
        <f t="shared" si="130"/>
        <v>0</v>
      </c>
      <c r="CC49" s="116">
        <v>0</v>
      </c>
      <c r="CD49" s="11">
        <f t="shared" si="154"/>
        <v>0</v>
      </c>
      <c r="CE49" s="116">
        <v>0</v>
      </c>
      <c r="CF49" s="11">
        <f t="shared" si="177"/>
        <v>0</v>
      </c>
      <c r="CG49" s="116">
        <v>0</v>
      </c>
      <c r="CH49" s="11"/>
      <c r="CI49" s="11"/>
      <c r="CJ49" s="11"/>
      <c r="CK49" s="11"/>
      <c r="CL49" s="11"/>
      <c r="CM49" s="116"/>
      <c r="CN49" s="11"/>
      <c r="CO49" s="116"/>
      <c r="CP49" s="11"/>
      <c r="CQ49" s="116"/>
      <c r="CR49" s="11"/>
      <c r="CS49" s="116"/>
      <c r="CT49" s="11"/>
      <c r="CU49" s="11"/>
      <c r="CV49" s="11"/>
      <c r="CW49" s="11"/>
      <c r="CX49" s="11"/>
      <c r="CY49" s="116"/>
      <c r="CZ49" s="11"/>
      <c r="DA49" s="116"/>
      <c r="DB49" s="11"/>
      <c r="DC49" s="116"/>
      <c r="DD49" s="11"/>
      <c r="DE49" s="116"/>
      <c r="DF49" s="11"/>
      <c r="DG49" s="9">
        <f t="shared" si="178"/>
        <v>0</v>
      </c>
      <c r="DH49" s="3">
        <f t="shared" si="179"/>
        <v>0</v>
      </c>
      <c r="DI49" s="119">
        <f t="shared" ref="DI49:DI73" si="181">L49+X49+AJ49+AV49+BH49+BT49+CF49+CR49+DD49</f>
        <v>0</v>
      </c>
      <c r="DK49" s="11">
        <f>DG49</f>
        <v>0</v>
      </c>
      <c r="DL49" s="11">
        <f>DH49</f>
        <v>0</v>
      </c>
      <c r="DM49" s="11">
        <f>DI49</f>
        <v>0</v>
      </c>
    </row>
    <row r="50" spans="1:117" outlineLevel="1" x14ac:dyDescent="0.25">
      <c r="A50" t="s">
        <v>148</v>
      </c>
      <c r="B50" t="s">
        <v>183</v>
      </c>
      <c r="C50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50&amp;"]"),0)</f>
        <v>0</v>
      </c>
      <c r="D50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50&amp;"]"),0)</f>
        <v>0</v>
      </c>
      <c r="E50" s="11">
        <f t="shared" si="165"/>
        <v>0</v>
      </c>
      <c r="F50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50&amp;"]"),0)*IF($B$2="Real",1,IF(F$8&lt;6,6/F$8,1)))*(1+G50)</f>
        <v>0</v>
      </c>
      <c r="G50" s="116">
        <v>0</v>
      </c>
      <c r="H50" s="11">
        <f t="shared" si="110"/>
        <v>0</v>
      </c>
      <c r="I50" s="116">
        <v>0</v>
      </c>
      <c r="J50" s="11">
        <f t="shared" si="111"/>
        <v>0</v>
      </c>
      <c r="K50" s="116">
        <v>0</v>
      </c>
      <c r="L50" s="11">
        <f t="shared" si="166"/>
        <v>0</v>
      </c>
      <c r="M50" s="116">
        <v>0</v>
      </c>
      <c r="N50" s="11"/>
      <c r="O50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50&amp;"]"),0)-AA50</f>
        <v>0</v>
      </c>
      <c r="P50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50&amp;"]"),0)-AB50</f>
        <v>0</v>
      </c>
      <c r="Q50" s="11">
        <f t="shared" si="167"/>
        <v>0</v>
      </c>
      <c r="R50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50&amp;"]"),0)*IF($B$2="Real",1,IF(R$8&lt;6,6/R$8,1))-AD50)*(1+S50)</f>
        <v>0</v>
      </c>
      <c r="S50" s="116">
        <v>0</v>
      </c>
      <c r="T50" s="11">
        <f t="shared" si="114"/>
        <v>0</v>
      </c>
      <c r="U50" s="116">
        <v>0</v>
      </c>
      <c r="V50" s="11">
        <f t="shared" si="140"/>
        <v>0</v>
      </c>
      <c r="W50" s="116">
        <v>0</v>
      </c>
      <c r="X50" s="11">
        <f t="shared" si="168"/>
        <v>0</v>
      </c>
      <c r="Y50" s="116">
        <v>0</v>
      </c>
      <c r="Z50" s="11"/>
      <c r="AA50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valor]",base!$AW$5,"[IF].[mes]","[IF].[mes].&amp;["&amp;AA$8&amp;"]","[IF].[ano]","[IF].[ano].&amp;["&amp;AA$7&amp;"]","[IF].[informacion]","[IF].[informacion].&amp;["&amp;AA$9&amp;"]","[IF].[cuenta_ppto]","[IF].[cuenta_ppto].&amp;["&amp;$A50&amp;"]"),0)</f>
        <v>0</v>
      </c>
      <c r="AB50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valor]",base!$AW$5,"[IF].[mes]","[IF].[mes].&amp;["&amp;AB$8&amp;"]","[IF].[ano]","[IF].[ano].&amp;["&amp;AB$7&amp;"]","[IF].[informacion]","[IF].[informacion].&amp;["&amp;AB$9&amp;"]","[IF].[cuenta_ppto]","[IF].[cuenta_ppto].&amp;["&amp;$A50&amp;"]"),0)</f>
        <v>0</v>
      </c>
      <c r="AC50" s="11">
        <f t="shared" si="169"/>
        <v>0</v>
      </c>
      <c r="AD50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50&amp;"]"),0)*IF($B$2="Real",1,IF(AD$8&lt;6,6/AD$8,1)))*(1+S48)</f>
        <v>0</v>
      </c>
      <c r="AE50" s="116">
        <v>0</v>
      </c>
      <c r="AF50" s="11">
        <f t="shared" si="116"/>
        <v>0</v>
      </c>
      <c r="AG50" s="116">
        <v>0</v>
      </c>
      <c r="AH50" s="11">
        <f t="shared" si="144"/>
        <v>0</v>
      </c>
      <c r="AI50" s="116">
        <v>0</v>
      </c>
      <c r="AJ50" s="11">
        <f t="shared" si="180"/>
        <v>0</v>
      </c>
      <c r="AK50" s="116">
        <v>0</v>
      </c>
      <c r="AL50" s="11"/>
      <c r="AM50" s="11">
        <f>IFERROR(GETPIVOTDATA("[Measures].[Suma de valor]",base!$K$3,"[IF].[departamento_jerarquia2]","[IF].[departamento_jerarquia2].&amp;["&amp;AM$5&amp;"]","[IF].[mes]","[IF].[mes].&amp;["&amp;AM$8&amp;"]","[IF].[ano]","[IF].[ano].&amp;["&amp;AM$7&amp;"]","[IF].[informacion]","[IF].[informacion].&amp;["&amp;AM$9&amp;"]","[IF].[cuenta_ppto]","[IF].[cuenta_ppto].&amp;["&amp;$A50&amp;"]"),0)-BK50</f>
        <v>0</v>
      </c>
      <c r="AN50" s="11">
        <f>IFERROR(GETPIVOTDATA("[Measures].[Suma de valor]",base!$K$3,"[IF].[departamento_jerarquia2]","[IF].[departamento_jerarquia2].&amp;["&amp;AN$5&amp;"]","[IF].[mes]","[IF].[mes].&amp;["&amp;AN$8&amp;"]","[IF].[ano]","[IF].[ano].&amp;["&amp;AN$7&amp;"]","[IF].[informacion]","[IF].[informacion].&amp;["&amp;AN$9&amp;"]","[IF].[cuenta_ppto]","[IF].[cuenta_ppto].&amp;["&amp;$A50&amp;"]"),0)-BL50</f>
        <v>0</v>
      </c>
      <c r="AO50" s="11">
        <f t="shared" si="170"/>
        <v>0</v>
      </c>
      <c r="AP50" s="3">
        <v>0</v>
      </c>
      <c r="AQ50" s="116">
        <v>0</v>
      </c>
      <c r="AR50" s="11">
        <f t="shared" si="118"/>
        <v>0</v>
      </c>
      <c r="AS50" s="116">
        <v>0</v>
      </c>
      <c r="AT50" s="11">
        <f t="shared" si="119"/>
        <v>0</v>
      </c>
      <c r="AU50" s="116">
        <v>0</v>
      </c>
      <c r="AV50" s="11">
        <f t="shared" si="171"/>
        <v>0</v>
      </c>
      <c r="AW50" s="116">
        <v>0</v>
      </c>
      <c r="AX50" s="11"/>
      <c r="AY50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50&amp;"]"),0)</f>
        <v>0</v>
      </c>
      <c r="AZ50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50&amp;"]"),0)</f>
        <v>0</v>
      </c>
      <c r="BA50" s="11">
        <f t="shared" si="172"/>
        <v>0</v>
      </c>
      <c r="BB50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INTERNOS]"),0)*IF($B$2="Real",1,IF(BB$8&lt;6,6/BB$8,1)))*(1+BC50)</f>
        <v>0</v>
      </c>
      <c r="BC50" s="116">
        <v>0</v>
      </c>
      <c r="BD50" s="11">
        <f t="shared" si="122"/>
        <v>0</v>
      </c>
      <c r="BE50" s="116">
        <v>0</v>
      </c>
      <c r="BF50" s="11">
        <f t="shared" si="123"/>
        <v>0</v>
      </c>
      <c r="BG50" s="116">
        <v>0</v>
      </c>
      <c r="BH50" s="11">
        <f t="shared" si="173"/>
        <v>0</v>
      </c>
      <c r="BI50" s="116">
        <v>0</v>
      </c>
      <c r="BJ50" s="11"/>
      <c r="BK50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50&amp;"]"),0)</f>
        <v>0</v>
      </c>
      <c r="BL50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50&amp;"]"),0)</f>
        <v>0</v>
      </c>
      <c r="BM50" s="11">
        <f t="shared" si="174"/>
        <v>0</v>
      </c>
      <c r="BN50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50&amp;"]"),0)*IF($B$2="Real",1,IF(BN$8&lt;6,6/BN$8,1)))*(1+BO50)</f>
        <v>0</v>
      </c>
      <c r="BO50" s="116">
        <v>0</v>
      </c>
      <c r="BP50" s="11">
        <f t="shared" si="126"/>
        <v>0</v>
      </c>
      <c r="BQ50" s="116">
        <v>0</v>
      </c>
      <c r="BR50" s="11">
        <f t="shared" si="127"/>
        <v>0</v>
      </c>
      <c r="BS50" s="116">
        <v>0</v>
      </c>
      <c r="BT50" s="11">
        <f t="shared" si="175"/>
        <v>0</v>
      </c>
      <c r="BU50" s="116">
        <v>0</v>
      </c>
      <c r="BV50" s="11"/>
      <c r="BW50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50&amp;"]"),0)</f>
        <v>0</v>
      </c>
      <c r="BX50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50&amp;"]"),0)</f>
        <v>0</v>
      </c>
      <c r="BY50" s="11">
        <f t="shared" si="176"/>
        <v>0</v>
      </c>
      <c r="BZ50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50&amp;"]"),0)*IF($B$2="Real",1,IF(BZ$8&lt;6,6/BZ$8,1)))*(1+CA50)</f>
        <v>0</v>
      </c>
      <c r="CA50" s="116">
        <v>0</v>
      </c>
      <c r="CB50" s="11">
        <f t="shared" si="130"/>
        <v>0</v>
      </c>
      <c r="CC50" s="116">
        <v>0</v>
      </c>
      <c r="CD50" s="11">
        <f t="shared" si="154"/>
        <v>0</v>
      </c>
      <c r="CE50" s="116">
        <v>0</v>
      </c>
      <c r="CF50" s="11">
        <f t="shared" si="177"/>
        <v>0</v>
      </c>
      <c r="CG50" s="116">
        <v>0</v>
      </c>
      <c r="CH50" s="11"/>
      <c r="CI50" s="11"/>
      <c r="CJ50" s="11"/>
      <c r="CK50" s="11"/>
      <c r="CL50" s="11"/>
      <c r="CM50" s="116"/>
      <c r="CN50" s="11"/>
      <c r="CO50" s="116"/>
      <c r="CP50" s="11"/>
      <c r="CQ50" s="116"/>
      <c r="CR50" s="11"/>
      <c r="CS50" s="116"/>
      <c r="CT50" s="11"/>
      <c r="CU50" s="11"/>
      <c r="CV50" s="11"/>
      <c r="CW50" s="11"/>
      <c r="CX50" s="11"/>
      <c r="CY50" s="116"/>
      <c r="CZ50" s="11"/>
      <c r="DA50" s="116"/>
      <c r="DB50" s="11"/>
      <c r="DC50" s="116"/>
      <c r="DD50" s="11"/>
      <c r="DE50" s="116"/>
      <c r="DF50" s="11"/>
      <c r="DG50" s="9">
        <f t="shared" si="178"/>
        <v>0</v>
      </c>
      <c r="DH50" s="3">
        <f t="shared" si="179"/>
        <v>0</v>
      </c>
      <c r="DI50" s="119">
        <f t="shared" si="181"/>
        <v>0</v>
      </c>
      <c r="DK50" s="11"/>
      <c r="DL50" s="11"/>
      <c r="DM50" s="11"/>
    </row>
    <row r="51" spans="1:117" outlineLevel="1" x14ac:dyDescent="0.25">
      <c r="A51" t="s">
        <v>149</v>
      </c>
      <c r="B51" t="s">
        <v>184</v>
      </c>
      <c r="C51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51&amp;"]"),0)</f>
        <v>0</v>
      </c>
      <c r="D51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51&amp;"]"),0)</f>
        <v>0</v>
      </c>
      <c r="E51" s="11">
        <f t="shared" si="165"/>
        <v>0</v>
      </c>
      <c r="F51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51&amp;"]"),0)*IF($B$2="Real",1,IF(F$8&lt;6,6/F$8,1)))*(1+G51)</f>
        <v>0</v>
      </c>
      <c r="G51" s="116">
        <v>0</v>
      </c>
      <c r="H51" s="11">
        <f t="shared" si="110"/>
        <v>0</v>
      </c>
      <c r="I51" s="116">
        <v>0</v>
      </c>
      <c r="J51" s="11">
        <f t="shared" si="111"/>
        <v>0</v>
      </c>
      <c r="K51" s="116">
        <v>0</v>
      </c>
      <c r="L51" s="11">
        <f t="shared" si="166"/>
        <v>0</v>
      </c>
      <c r="M51" s="116">
        <v>0</v>
      </c>
      <c r="N51" s="11"/>
      <c r="O51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51&amp;"]"),0)-AA51</f>
        <v>0</v>
      </c>
      <c r="P51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51&amp;"]"),0)-AB51</f>
        <v>0</v>
      </c>
      <c r="Q51" s="11">
        <f t="shared" si="167"/>
        <v>0</v>
      </c>
      <c r="R51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51&amp;"]"),0)*IF($B$2="Real",1,IF(R$8&lt;6,6/R$8,1))-AD51)*(1+S51)</f>
        <v>0</v>
      </c>
      <c r="S51" s="116">
        <v>0</v>
      </c>
      <c r="T51" s="11">
        <f t="shared" si="114"/>
        <v>0</v>
      </c>
      <c r="U51" s="116">
        <v>0</v>
      </c>
      <c r="V51" s="11">
        <f t="shared" si="140"/>
        <v>0</v>
      </c>
      <c r="W51" s="116">
        <v>0</v>
      </c>
      <c r="X51" s="11">
        <f t="shared" si="168"/>
        <v>0</v>
      </c>
      <c r="Y51" s="116">
        <v>0</v>
      </c>
      <c r="Z51" s="11"/>
      <c r="AA51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valor]",base!$AW$5,"[IF].[mes]","[IF].[mes].&amp;["&amp;AA$8&amp;"]","[IF].[ano]","[IF].[ano].&amp;["&amp;AA$7&amp;"]","[IF].[informacion]","[IF].[informacion].&amp;["&amp;AA$9&amp;"]","[IF].[cuenta_ppto]","[IF].[cuenta_ppto].&amp;["&amp;$A51&amp;"]"),0)</f>
        <v>0</v>
      </c>
      <c r="AB51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valor]",base!$AW$5,"[IF].[mes]","[IF].[mes].&amp;["&amp;AB$8&amp;"]","[IF].[ano]","[IF].[ano].&amp;["&amp;AB$7&amp;"]","[IF].[informacion]","[IF].[informacion].&amp;["&amp;AB$9&amp;"]","[IF].[cuenta_ppto]","[IF].[cuenta_ppto].&amp;["&amp;$A51&amp;"]"),0)</f>
        <v>0</v>
      </c>
      <c r="AC51" s="11">
        <f t="shared" si="169"/>
        <v>0</v>
      </c>
      <c r="AD51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51&amp;"]"),0)*IF($B$2="Real",1,IF(AD$8&lt;6,6/AD$8,1)))*(1+S49)</f>
        <v>2.9903076</v>
      </c>
      <c r="AE51" s="116">
        <v>0</v>
      </c>
      <c r="AF51" s="11">
        <f t="shared" si="116"/>
        <v>0</v>
      </c>
      <c r="AG51" s="116">
        <v>0</v>
      </c>
      <c r="AH51" s="11">
        <f t="shared" si="144"/>
        <v>2.9903076</v>
      </c>
      <c r="AI51" s="116">
        <v>0</v>
      </c>
      <c r="AJ51" s="11">
        <f t="shared" si="180"/>
        <v>2.9903076</v>
      </c>
      <c r="AK51" s="116">
        <v>0</v>
      </c>
      <c r="AL51" s="11"/>
      <c r="AM51" s="11">
        <f>IFERROR(GETPIVOTDATA("[Measures].[Suma de valor]",base!$K$3,"[IF].[departamento_jerarquia2]","[IF].[departamento_jerarquia2].&amp;["&amp;AM$5&amp;"]","[IF].[mes]","[IF].[mes].&amp;["&amp;AM$8&amp;"]","[IF].[ano]","[IF].[ano].&amp;["&amp;AM$7&amp;"]","[IF].[informacion]","[IF].[informacion].&amp;["&amp;AM$9&amp;"]","[IF].[cuenta_ppto]","[IF].[cuenta_ppto].&amp;["&amp;$A51&amp;"]"),0)-BK51</f>
        <v>0</v>
      </c>
      <c r="AN51" s="11">
        <f>IFERROR(GETPIVOTDATA("[Measures].[Suma de valor]",base!$K$3,"[IF].[departamento_jerarquia2]","[IF].[departamento_jerarquia2].&amp;["&amp;AN$5&amp;"]","[IF].[mes]","[IF].[mes].&amp;["&amp;AN$8&amp;"]","[IF].[ano]","[IF].[ano].&amp;["&amp;AN$7&amp;"]","[IF].[informacion]","[IF].[informacion].&amp;["&amp;AN$9&amp;"]","[IF].[cuenta_ppto]","[IF].[cuenta_ppto].&amp;["&amp;$A51&amp;"]"),0)-BL51</f>
        <v>0</v>
      </c>
      <c r="AO51" s="11">
        <f t="shared" si="170"/>
        <v>0</v>
      </c>
      <c r="AP51" s="3">
        <v>0</v>
      </c>
      <c r="AQ51" s="116">
        <v>0</v>
      </c>
      <c r="AR51" s="11">
        <f t="shared" si="118"/>
        <v>0</v>
      </c>
      <c r="AS51" s="116">
        <v>0</v>
      </c>
      <c r="AT51" s="11">
        <f t="shared" si="119"/>
        <v>0</v>
      </c>
      <c r="AU51" s="116">
        <v>0</v>
      </c>
      <c r="AV51" s="11">
        <f t="shared" si="171"/>
        <v>0</v>
      </c>
      <c r="AW51" s="116">
        <v>0</v>
      </c>
      <c r="AX51" s="11"/>
      <c r="AY51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51&amp;"]"),0)</f>
        <v>0</v>
      </c>
      <c r="AZ51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51&amp;"]"),0)</f>
        <v>0</v>
      </c>
      <c r="BA51" s="11">
        <f t="shared" si="172"/>
        <v>0</v>
      </c>
      <c r="BB51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INTERNOS]"),0)*IF($B$2="Real",1,IF(BB$8&lt;6,6/BB$8,1)))*(1+BC51)</f>
        <v>0</v>
      </c>
      <c r="BC51" s="116">
        <v>0</v>
      </c>
      <c r="BD51" s="11">
        <f t="shared" si="122"/>
        <v>0</v>
      </c>
      <c r="BE51" s="116">
        <v>0</v>
      </c>
      <c r="BF51" s="11">
        <f t="shared" si="123"/>
        <v>0</v>
      </c>
      <c r="BG51" s="116">
        <v>0</v>
      </c>
      <c r="BH51" s="11">
        <f t="shared" si="173"/>
        <v>0</v>
      </c>
      <c r="BI51" s="116">
        <v>0</v>
      </c>
      <c r="BJ51" s="11"/>
      <c r="BK51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51&amp;"]"),0)</f>
        <v>0</v>
      </c>
      <c r="BL51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51&amp;"]"),0)</f>
        <v>0</v>
      </c>
      <c r="BM51" s="11">
        <f t="shared" si="174"/>
        <v>0</v>
      </c>
      <c r="BN51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51&amp;"]"),0)*IF($B$2="Real",1,IF(BN$8&lt;6,6/BN$8,1)))*(1+BO51)</f>
        <v>0</v>
      </c>
      <c r="BO51" s="116">
        <v>0</v>
      </c>
      <c r="BP51" s="11">
        <f t="shared" si="126"/>
        <v>0</v>
      </c>
      <c r="BQ51" s="116">
        <v>0</v>
      </c>
      <c r="BR51" s="11">
        <f t="shared" si="127"/>
        <v>0</v>
      </c>
      <c r="BS51" s="116">
        <v>0</v>
      </c>
      <c r="BT51" s="11">
        <f t="shared" si="175"/>
        <v>0</v>
      </c>
      <c r="BU51" s="116">
        <v>0</v>
      </c>
      <c r="BV51" s="11"/>
      <c r="BW51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51&amp;"]"),0)</f>
        <v>0</v>
      </c>
      <c r="BX51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51&amp;"]"),0)</f>
        <v>0</v>
      </c>
      <c r="BY51" s="11">
        <f t="shared" si="176"/>
        <v>0</v>
      </c>
      <c r="BZ51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51&amp;"]"),0)*IF($B$2="Real",1,IF(BZ$8&lt;6,6/BZ$8,1)))*(1+CA51)</f>
        <v>7.9596</v>
      </c>
      <c r="CA51" s="116">
        <v>0</v>
      </c>
      <c r="CB51" s="11">
        <f t="shared" si="130"/>
        <v>0</v>
      </c>
      <c r="CC51" s="116">
        <v>0</v>
      </c>
      <c r="CD51" s="11">
        <f t="shared" si="154"/>
        <v>7.9596</v>
      </c>
      <c r="CE51" s="116">
        <v>0</v>
      </c>
      <c r="CF51" s="11">
        <f t="shared" si="177"/>
        <v>7.9596</v>
      </c>
      <c r="CG51" s="116">
        <v>0</v>
      </c>
      <c r="CH51" s="11"/>
      <c r="CI51" s="11"/>
      <c r="CJ51" s="11"/>
      <c r="CK51" s="11"/>
      <c r="CL51" s="11"/>
      <c r="CM51" s="116"/>
      <c r="CN51" s="11"/>
      <c r="CO51" s="116"/>
      <c r="CP51" s="11"/>
      <c r="CQ51" s="116"/>
      <c r="CR51" s="11"/>
      <c r="CS51" s="116"/>
      <c r="CT51" s="11"/>
      <c r="CU51" s="11"/>
      <c r="CV51" s="11"/>
      <c r="CW51" s="11"/>
      <c r="CX51" s="11"/>
      <c r="CY51" s="116"/>
      <c r="CZ51" s="11"/>
      <c r="DA51" s="116"/>
      <c r="DB51" s="11"/>
      <c r="DC51" s="116"/>
      <c r="DD51" s="11"/>
      <c r="DE51" s="116"/>
      <c r="DF51" s="11"/>
      <c r="DG51" s="9">
        <f t="shared" si="178"/>
        <v>0</v>
      </c>
      <c r="DH51" s="3">
        <f t="shared" si="179"/>
        <v>10.9499076</v>
      </c>
      <c r="DI51" s="119">
        <f t="shared" si="181"/>
        <v>10.9499076</v>
      </c>
      <c r="DK51" s="11"/>
      <c r="DL51" s="11"/>
      <c r="DM51" s="11"/>
    </row>
    <row r="52" spans="1:117" outlineLevel="1" x14ac:dyDescent="0.25">
      <c r="A52" t="s">
        <v>150</v>
      </c>
      <c r="B52" t="s">
        <v>185</v>
      </c>
      <c r="C52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52&amp;"]"),0)</f>
        <v>0</v>
      </c>
      <c r="D52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52&amp;"]"),0)</f>
        <v>0</v>
      </c>
      <c r="E52" s="11">
        <f t="shared" si="165"/>
        <v>0</v>
      </c>
      <c r="F52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52&amp;"]"),0)*IF($B$2="Real",1,IF(F$8&lt;6,6/F$8,1)))*(1+G52)</f>
        <v>0</v>
      </c>
      <c r="G52" s="116">
        <v>0</v>
      </c>
      <c r="H52" s="11">
        <f t="shared" si="110"/>
        <v>0</v>
      </c>
      <c r="I52" s="116">
        <v>0</v>
      </c>
      <c r="J52" s="11">
        <f t="shared" si="111"/>
        <v>0</v>
      </c>
      <c r="K52" s="116">
        <v>0</v>
      </c>
      <c r="L52" s="11">
        <f t="shared" si="166"/>
        <v>0</v>
      </c>
      <c r="M52" s="116">
        <v>0</v>
      </c>
      <c r="N52" s="11"/>
      <c r="O52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52&amp;"]"),0)-AA52</f>
        <v>0</v>
      </c>
      <c r="P52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52&amp;"]"),0)-AB52</f>
        <v>0</v>
      </c>
      <c r="Q52" s="11">
        <f t="shared" si="167"/>
        <v>0</v>
      </c>
      <c r="R52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52&amp;"]"),0)*IF($B$2="Real",1,IF(R$8&lt;6,6/R$8,1))-AD52)*(1+S52)</f>
        <v>0</v>
      </c>
      <c r="S52" s="116">
        <v>0</v>
      </c>
      <c r="T52" s="11">
        <f t="shared" si="114"/>
        <v>0</v>
      </c>
      <c r="U52" s="116">
        <v>0</v>
      </c>
      <c r="V52" s="11">
        <f t="shared" si="140"/>
        <v>0</v>
      </c>
      <c r="W52" s="116">
        <v>0</v>
      </c>
      <c r="X52" s="11">
        <f t="shared" si="168"/>
        <v>0</v>
      </c>
      <c r="Y52" s="116">
        <v>0</v>
      </c>
      <c r="Z52" s="11"/>
      <c r="AA52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valor]",base!$AW$5,"[IF].[mes]","[IF].[mes].&amp;["&amp;AA$8&amp;"]","[IF].[ano]","[IF].[ano].&amp;["&amp;AA$7&amp;"]","[IF].[informacion]","[IF].[informacion].&amp;["&amp;AA$9&amp;"]","[IF].[cuenta_ppto]","[IF].[cuenta_ppto].&amp;["&amp;$A52&amp;"]"),0)</f>
        <v>0</v>
      </c>
      <c r="AB52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valor]",base!$AW$5,"[IF].[mes]","[IF].[mes].&amp;["&amp;AB$8&amp;"]","[IF].[ano]","[IF].[ano].&amp;["&amp;AB$7&amp;"]","[IF].[informacion]","[IF].[informacion].&amp;["&amp;AB$9&amp;"]","[IF].[cuenta_ppto]","[IF].[cuenta_ppto].&amp;["&amp;$A52&amp;"]"),0)</f>
        <v>0</v>
      </c>
      <c r="AC52" s="11">
        <f t="shared" si="169"/>
        <v>0</v>
      </c>
      <c r="AD52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52&amp;"]"),0)*IF($B$2="Real",1,IF(AD$8&lt;6,6/AD$8,1)))*(1+S50)</f>
        <v>0</v>
      </c>
      <c r="AE52" s="116">
        <v>0</v>
      </c>
      <c r="AF52" s="11">
        <f t="shared" si="116"/>
        <v>0</v>
      </c>
      <c r="AG52" s="116">
        <v>0</v>
      </c>
      <c r="AH52" s="11">
        <f t="shared" si="144"/>
        <v>0</v>
      </c>
      <c r="AI52" s="116">
        <v>0</v>
      </c>
      <c r="AJ52" s="11">
        <f t="shared" si="180"/>
        <v>0</v>
      </c>
      <c r="AK52" s="116">
        <v>0</v>
      </c>
      <c r="AL52" s="11"/>
      <c r="AM52" s="11">
        <f>IFERROR(GETPIVOTDATA("[Measures].[Suma de valor]",base!$K$3,"[IF].[departamento_jerarquia2]","[IF].[departamento_jerarquia2].&amp;["&amp;AM$5&amp;"]","[IF].[mes]","[IF].[mes].&amp;["&amp;AM$8&amp;"]","[IF].[ano]","[IF].[ano].&amp;["&amp;AM$7&amp;"]","[IF].[informacion]","[IF].[informacion].&amp;["&amp;AM$9&amp;"]","[IF].[cuenta_ppto]","[IF].[cuenta_ppto].&amp;["&amp;$A52&amp;"]"),0)-BK52</f>
        <v>0</v>
      </c>
      <c r="AN52" s="11">
        <f>IFERROR(GETPIVOTDATA("[Measures].[Suma de valor]",base!$K$3,"[IF].[departamento_jerarquia2]","[IF].[departamento_jerarquia2].&amp;["&amp;AN$5&amp;"]","[IF].[mes]","[IF].[mes].&amp;["&amp;AN$8&amp;"]","[IF].[ano]","[IF].[ano].&amp;["&amp;AN$7&amp;"]","[IF].[informacion]","[IF].[informacion].&amp;["&amp;AN$9&amp;"]","[IF].[cuenta_ppto]","[IF].[cuenta_ppto].&amp;["&amp;$A52&amp;"]"),0)-BL52</f>
        <v>0</v>
      </c>
      <c r="AO52" s="11">
        <f t="shared" si="170"/>
        <v>0</v>
      </c>
      <c r="AP52" s="3">
        <v>0</v>
      </c>
      <c r="AQ52" s="116">
        <v>0</v>
      </c>
      <c r="AR52" s="11">
        <f t="shared" si="118"/>
        <v>0</v>
      </c>
      <c r="AS52" s="116">
        <v>0</v>
      </c>
      <c r="AT52" s="11">
        <f t="shared" si="119"/>
        <v>0</v>
      </c>
      <c r="AU52" s="116">
        <v>0</v>
      </c>
      <c r="AV52" s="11">
        <f t="shared" si="171"/>
        <v>0</v>
      </c>
      <c r="AW52" s="116">
        <v>0</v>
      </c>
      <c r="AX52" s="11"/>
      <c r="AY52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52&amp;"]"),0)</f>
        <v>0</v>
      </c>
      <c r="AZ52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52&amp;"]"),0)</f>
        <v>0</v>
      </c>
      <c r="BA52" s="11">
        <f t="shared" si="172"/>
        <v>0</v>
      </c>
      <c r="BB52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INTERNOS]"),0)*IF($B$2="Real",1,IF(BB$8&lt;6,6/BB$8,1)))*(1+BC52)</f>
        <v>0</v>
      </c>
      <c r="BC52" s="116">
        <v>0</v>
      </c>
      <c r="BD52" s="11">
        <f t="shared" si="122"/>
        <v>0</v>
      </c>
      <c r="BE52" s="116">
        <v>0</v>
      </c>
      <c r="BF52" s="11">
        <f t="shared" si="123"/>
        <v>0</v>
      </c>
      <c r="BG52" s="116">
        <v>0</v>
      </c>
      <c r="BH52" s="11">
        <f t="shared" si="173"/>
        <v>0</v>
      </c>
      <c r="BI52" s="116">
        <v>0</v>
      </c>
      <c r="BJ52" s="11"/>
      <c r="BK52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52&amp;"]"),0)</f>
        <v>0</v>
      </c>
      <c r="BL52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52&amp;"]"),0)</f>
        <v>0</v>
      </c>
      <c r="BM52" s="11">
        <f t="shared" si="174"/>
        <v>0</v>
      </c>
      <c r="BN52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52&amp;"]"),0)*IF($B$2="Real",1,IF(BN$8&lt;6,6/BN$8,1)))*(1+BO52)</f>
        <v>0</v>
      </c>
      <c r="BO52" s="116">
        <v>0</v>
      </c>
      <c r="BP52" s="11">
        <f t="shared" si="126"/>
        <v>0</v>
      </c>
      <c r="BQ52" s="116">
        <v>0</v>
      </c>
      <c r="BR52" s="11">
        <f t="shared" si="127"/>
        <v>0</v>
      </c>
      <c r="BS52" s="116">
        <v>0</v>
      </c>
      <c r="BT52" s="11">
        <f t="shared" si="175"/>
        <v>0</v>
      </c>
      <c r="BU52" s="116">
        <v>0</v>
      </c>
      <c r="BV52" s="11"/>
      <c r="BW52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52&amp;"]"),0)</f>
        <v>0</v>
      </c>
      <c r="BX52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52&amp;"]"),0)</f>
        <v>0</v>
      </c>
      <c r="BY52" s="11">
        <f t="shared" si="176"/>
        <v>0</v>
      </c>
      <c r="BZ52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52&amp;"]"),0)*IF($B$2="Real",1,IF(BZ$8&lt;6,6/BZ$8,1)))*(1+CA52)</f>
        <v>0</v>
      </c>
      <c r="CA52" s="116">
        <v>0</v>
      </c>
      <c r="CB52" s="11">
        <f t="shared" si="130"/>
        <v>0</v>
      </c>
      <c r="CC52" s="116">
        <v>0</v>
      </c>
      <c r="CD52" s="11">
        <f t="shared" si="154"/>
        <v>0</v>
      </c>
      <c r="CE52" s="116">
        <v>0</v>
      </c>
      <c r="CF52" s="11">
        <f t="shared" si="177"/>
        <v>0</v>
      </c>
      <c r="CG52" s="116">
        <v>0</v>
      </c>
      <c r="CH52" s="11"/>
      <c r="CI52" s="11"/>
      <c r="CJ52" s="11"/>
      <c r="CK52" s="11"/>
      <c r="CL52" s="11"/>
      <c r="CM52" s="116"/>
      <c r="CN52" s="11"/>
      <c r="CO52" s="116"/>
      <c r="CP52" s="11"/>
      <c r="CQ52" s="116"/>
      <c r="CR52" s="11"/>
      <c r="CS52" s="116"/>
      <c r="CT52" s="11"/>
      <c r="CU52" s="11"/>
      <c r="CV52" s="11"/>
      <c r="CW52" s="11"/>
      <c r="CX52" s="11"/>
      <c r="CY52" s="116"/>
      <c r="CZ52" s="11"/>
      <c r="DA52" s="116"/>
      <c r="DB52" s="11"/>
      <c r="DC52" s="116"/>
      <c r="DD52" s="11"/>
      <c r="DE52" s="116"/>
      <c r="DF52" s="11"/>
      <c r="DG52" s="9">
        <f t="shared" si="178"/>
        <v>0</v>
      </c>
      <c r="DH52" s="3">
        <f t="shared" si="179"/>
        <v>0</v>
      </c>
      <c r="DI52" s="119">
        <f t="shared" si="181"/>
        <v>0</v>
      </c>
      <c r="DK52" s="11">
        <f>DG52</f>
        <v>0</v>
      </c>
      <c r="DL52" s="11">
        <f>DH52</f>
        <v>0</v>
      </c>
      <c r="DM52" s="11">
        <f>DI52</f>
        <v>0</v>
      </c>
    </row>
    <row r="53" spans="1:117" outlineLevel="1" x14ac:dyDescent="0.25">
      <c r="A53" t="s">
        <v>250</v>
      </c>
      <c r="B53" t="s">
        <v>358</v>
      </c>
      <c r="C53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53&amp;"]"),0)</f>
        <v>0</v>
      </c>
      <c r="D53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53&amp;"]"),0)</f>
        <v>0</v>
      </c>
      <c r="E53" s="11">
        <f t="shared" si="165"/>
        <v>0</v>
      </c>
      <c r="F53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53&amp;"]"),0)*IF($B$2="Real",1,IF(F$8&lt;6,6/F$8,1)))*(1+G53)</f>
        <v>0</v>
      </c>
      <c r="G53" s="116">
        <v>0</v>
      </c>
      <c r="H53" s="11">
        <f t="shared" si="110"/>
        <v>0</v>
      </c>
      <c r="I53" s="116">
        <v>0</v>
      </c>
      <c r="J53" s="11">
        <f t="shared" si="111"/>
        <v>0</v>
      </c>
      <c r="K53" s="116">
        <v>0</v>
      </c>
      <c r="L53" s="11">
        <f t="shared" si="166"/>
        <v>0</v>
      </c>
      <c r="M53" s="116">
        <v>0</v>
      </c>
      <c r="N53" s="11"/>
      <c r="O53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53&amp;"]"),0)-AA53</f>
        <v>0.46947800000000006</v>
      </c>
      <c r="P53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53&amp;"]"),0)-AB53</f>
        <v>0.23464510440000003</v>
      </c>
      <c r="Q53" s="11">
        <f t="shared" si="167"/>
        <v>0.23483289560000004</v>
      </c>
      <c r="R53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53&amp;"]"),0)*IF($B$2="Real",1,IF(R$8&lt;6,6/R$8,1))-AD53)*(1+S53)</f>
        <v>0</v>
      </c>
      <c r="S53" s="116">
        <v>0</v>
      </c>
      <c r="T53" s="11">
        <f t="shared" si="114"/>
        <v>0.23483289560000004</v>
      </c>
      <c r="U53" s="116">
        <v>0</v>
      </c>
      <c r="V53" s="11">
        <f t="shared" si="140"/>
        <v>0.23483289560000004</v>
      </c>
      <c r="W53" s="116">
        <v>0</v>
      </c>
      <c r="X53" s="11">
        <f t="shared" si="168"/>
        <v>0.23483289560000004</v>
      </c>
      <c r="Y53" s="116">
        <v>0</v>
      </c>
      <c r="Z53" s="11"/>
      <c r="AA53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valor]",base!$AW$5,"[IF].[mes]","[IF].[mes].&amp;["&amp;AA$8&amp;"]","[IF].[ano]","[IF].[ano].&amp;["&amp;AA$7&amp;"]","[IF].[informacion]","[IF].[informacion].&amp;["&amp;AA$9&amp;"]","[IF].[cuenta_ppto]","[IF].[cuenta_ppto].&amp;["&amp;$A53&amp;"]"),0)</f>
        <v>0</v>
      </c>
      <c r="AB53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valor]",base!$AW$5,"[IF].[mes]","[IF].[mes].&amp;["&amp;AB$8&amp;"]","[IF].[ano]","[IF].[ano].&amp;["&amp;AB$7&amp;"]","[IF].[informacion]","[IF].[informacion].&amp;["&amp;AB$9&amp;"]","[IF].[cuenta_ppto]","[IF].[cuenta_ppto].&amp;["&amp;$A53&amp;"]"),0)</f>
        <v>0</v>
      </c>
      <c r="AC53" s="11">
        <f t="shared" si="169"/>
        <v>0</v>
      </c>
      <c r="AD53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53&amp;"]"),0)*IF($B$2="Real",1,IF(AD$8&lt;6,6/AD$8,1)))*(1+S51)</f>
        <v>0</v>
      </c>
      <c r="AE53" s="116">
        <v>0</v>
      </c>
      <c r="AF53" s="11">
        <f t="shared" si="116"/>
        <v>0</v>
      </c>
      <c r="AG53" s="116">
        <v>0</v>
      </c>
      <c r="AH53" s="11">
        <f t="shared" si="144"/>
        <v>0</v>
      </c>
      <c r="AI53" s="116">
        <v>0</v>
      </c>
      <c r="AJ53" s="11">
        <f t="shared" si="180"/>
        <v>0</v>
      </c>
      <c r="AK53" s="116">
        <v>0</v>
      </c>
      <c r="AL53" s="11"/>
      <c r="AM53" s="11">
        <f>IFERROR(GETPIVOTDATA("[Measures].[Suma de valor]",base!$K$3,"[IF].[departamento_jerarquia2]","[IF].[departamento_jerarquia2].&amp;["&amp;AM$5&amp;"]","[IF].[mes]","[IF].[mes].&amp;["&amp;AM$8&amp;"]","[IF].[ano]","[IF].[ano].&amp;["&amp;AM$7&amp;"]","[IF].[informacion]","[IF].[informacion].&amp;["&amp;AM$9&amp;"]","[IF].[cuenta_ppto]","[IF].[cuenta_ppto].&amp;["&amp;$A53&amp;"]"),0)-BK53</f>
        <v>0</v>
      </c>
      <c r="AN53" s="11">
        <f>IFERROR(GETPIVOTDATA("[Measures].[Suma de valor]",base!$K$3,"[IF].[departamento_jerarquia2]","[IF].[departamento_jerarquia2].&amp;["&amp;AN$5&amp;"]","[IF].[mes]","[IF].[mes].&amp;["&amp;AN$8&amp;"]","[IF].[ano]","[IF].[ano].&amp;["&amp;AN$7&amp;"]","[IF].[informacion]","[IF].[informacion].&amp;["&amp;AN$9&amp;"]","[IF].[cuenta_ppto]","[IF].[cuenta_ppto].&amp;["&amp;$A53&amp;"]"),0)-BL53</f>
        <v>0</v>
      </c>
      <c r="AO53" s="11">
        <f t="shared" si="170"/>
        <v>0</v>
      </c>
      <c r="AP53" s="3">
        <v>0</v>
      </c>
      <c r="AQ53" s="116">
        <v>0</v>
      </c>
      <c r="AR53" s="11">
        <f t="shared" si="118"/>
        <v>0</v>
      </c>
      <c r="AS53" s="116">
        <v>0</v>
      </c>
      <c r="AT53" s="11">
        <f t="shared" si="119"/>
        <v>0</v>
      </c>
      <c r="AU53" s="116">
        <v>0</v>
      </c>
      <c r="AV53" s="11">
        <f t="shared" si="171"/>
        <v>0</v>
      </c>
      <c r="AW53" s="116">
        <v>0</v>
      </c>
      <c r="AX53" s="11"/>
      <c r="AY53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53&amp;"]"),0)</f>
        <v>0</v>
      </c>
      <c r="AZ53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53&amp;"]"),0)</f>
        <v>0</v>
      </c>
      <c r="BA53" s="11">
        <f t="shared" si="172"/>
        <v>0</v>
      </c>
      <c r="BB53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INTERNOS]"),0)*IF($B$2="Real",1,IF(BB$8&lt;6,6/BB$8,1)))*(1+BC53)</f>
        <v>0</v>
      </c>
      <c r="BC53" s="116">
        <v>0</v>
      </c>
      <c r="BD53" s="11">
        <f t="shared" si="122"/>
        <v>0</v>
      </c>
      <c r="BE53" s="116">
        <v>0</v>
      </c>
      <c r="BF53" s="11">
        <f t="shared" si="123"/>
        <v>0</v>
      </c>
      <c r="BG53" s="116">
        <v>0</v>
      </c>
      <c r="BH53" s="11">
        <f t="shared" si="173"/>
        <v>0</v>
      </c>
      <c r="BI53" s="116">
        <v>0</v>
      </c>
      <c r="BJ53" s="11"/>
      <c r="BK53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53&amp;"]"),0)</f>
        <v>0</v>
      </c>
      <c r="BL53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53&amp;"]"),0)</f>
        <v>0</v>
      </c>
      <c r="BM53" s="11">
        <f t="shared" si="174"/>
        <v>0</v>
      </c>
      <c r="BN53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53&amp;"]"),0)*IF($B$2="Real",1,IF(BN$8&lt;6,6/BN$8,1)))*(1+BO53)</f>
        <v>0</v>
      </c>
      <c r="BO53" s="116">
        <v>0</v>
      </c>
      <c r="BP53" s="11">
        <f t="shared" si="126"/>
        <v>0</v>
      </c>
      <c r="BQ53" s="116">
        <v>0</v>
      </c>
      <c r="BR53" s="11">
        <f t="shared" si="127"/>
        <v>0</v>
      </c>
      <c r="BS53" s="116">
        <v>0</v>
      </c>
      <c r="BT53" s="11">
        <f t="shared" si="175"/>
        <v>0</v>
      </c>
      <c r="BU53" s="116">
        <v>0</v>
      </c>
      <c r="BV53" s="11"/>
      <c r="BW53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53&amp;"]"),0)</f>
        <v>0</v>
      </c>
      <c r="BX53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53&amp;"]"),0)</f>
        <v>0</v>
      </c>
      <c r="BY53" s="11">
        <f t="shared" si="176"/>
        <v>0</v>
      </c>
      <c r="BZ53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53&amp;"]"),0)*IF($B$2="Real",1,IF(BZ$8&lt;6,6/BZ$8,1)))*(1+CA53)</f>
        <v>0</v>
      </c>
      <c r="CA53" s="116">
        <v>0</v>
      </c>
      <c r="CB53" s="11">
        <f t="shared" si="130"/>
        <v>0</v>
      </c>
      <c r="CC53" s="116">
        <v>0</v>
      </c>
      <c r="CD53" s="11">
        <f t="shared" si="154"/>
        <v>0</v>
      </c>
      <c r="CE53" s="116">
        <v>0</v>
      </c>
      <c r="CF53" s="11">
        <f t="shared" si="177"/>
        <v>0</v>
      </c>
      <c r="CG53" s="116">
        <v>0</v>
      </c>
      <c r="CH53" s="11"/>
      <c r="CI53" s="11"/>
      <c r="CJ53" s="11"/>
      <c r="CK53" s="11"/>
      <c r="CL53" s="11"/>
      <c r="CM53" s="116"/>
      <c r="CN53" s="11"/>
      <c r="CO53" s="116"/>
      <c r="CP53" s="11"/>
      <c r="CQ53" s="116"/>
      <c r="CR53" s="11"/>
      <c r="CS53" s="116"/>
      <c r="CT53" s="11"/>
      <c r="CU53" s="11"/>
      <c r="CV53" s="11"/>
      <c r="CW53" s="11"/>
      <c r="CX53" s="11"/>
      <c r="CY53" s="116"/>
      <c r="CZ53" s="11"/>
      <c r="DA53" s="116"/>
      <c r="DB53" s="11"/>
      <c r="DC53" s="116"/>
      <c r="DD53" s="11"/>
      <c r="DE53" s="116"/>
      <c r="DF53" s="11"/>
      <c r="DG53" s="9">
        <f t="shared" si="178"/>
        <v>0.46947800000000006</v>
      </c>
      <c r="DH53" s="3">
        <f t="shared" si="179"/>
        <v>0.23483289560000004</v>
      </c>
      <c r="DI53" s="119">
        <f t="shared" si="181"/>
        <v>0.23483289560000004</v>
      </c>
      <c r="DK53" s="11">
        <f t="shared" ref="DK53:DM65" si="182">DG53</f>
        <v>0.46947800000000006</v>
      </c>
      <c r="DL53" s="11">
        <f t="shared" si="182"/>
        <v>0.23483289560000004</v>
      </c>
      <c r="DM53" s="11">
        <f t="shared" si="182"/>
        <v>0.23483289560000004</v>
      </c>
    </row>
    <row r="54" spans="1:117" outlineLevel="1" x14ac:dyDescent="0.25">
      <c r="A54" t="s">
        <v>151</v>
      </c>
      <c r="B54" t="s">
        <v>186</v>
      </c>
      <c r="C54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54&amp;"]"),0)</f>
        <v>0</v>
      </c>
      <c r="D54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54&amp;"]"),0)</f>
        <v>0</v>
      </c>
      <c r="E54" s="11">
        <f t="shared" si="165"/>
        <v>0</v>
      </c>
      <c r="F54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54&amp;"]"),0)*IF($B$2="Real",1,IF(F$8&lt;6,6/F$8,1)))*(1+G54)</f>
        <v>0</v>
      </c>
      <c r="G54" s="116">
        <v>0</v>
      </c>
      <c r="H54" s="11">
        <f t="shared" si="110"/>
        <v>0</v>
      </c>
      <c r="I54" s="116">
        <v>0</v>
      </c>
      <c r="J54" s="11">
        <f t="shared" si="111"/>
        <v>0</v>
      </c>
      <c r="K54" s="116">
        <v>0</v>
      </c>
      <c r="L54" s="11">
        <f t="shared" si="166"/>
        <v>0</v>
      </c>
      <c r="M54" s="116">
        <v>0</v>
      </c>
      <c r="N54" s="11"/>
      <c r="O54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54&amp;"]"),0)-AA54</f>
        <v>0</v>
      </c>
      <c r="P54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54&amp;"]"),0)-AB54</f>
        <v>0</v>
      </c>
      <c r="Q54" s="11">
        <f t="shared" si="167"/>
        <v>0</v>
      </c>
      <c r="R54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54&amp;"]"),0)*IF($B$2="Real",1,IF(R$8&lt;6,6/R$8,1))-AD54)*(1+S54)</f>
        <v>0</v>
      </c>
      <c r="S54" s="116">
        <v>0</v>
      </c>
      <c r="T54" s="11">
        <f t="shared" si="114"/>
        <v>0</v>
      </c>
      <c r="U54" s="116">
        <v>0</v>
      </c>
      <c r="V54" s="11">
        <f t="shared" si="140"/>
        <v>0</v>
      </c>
      <c r="W54" s="116">
        <v>0</v>
      </c>
      <c r="X54" s="11">
        <f t="shared" si="168"/>
        <v>0</v>
      </c>
      <c r="Y54" s="116">
        <v>0</v>
      </c>
      <c r="Z54" s="11"/>
      <c r="AA54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valor]",base!$AW$5,"[IF].[mes]","[IF].[mes].&amp;["&amp;AA$8&amp;"]","[IF].[ano]","[IF].[ano].&amp;["&amp;AA$7&amp;"]","[IF].[informacion]","[IF].[informacion].&amp;["&amp;AA$9&amp;"]","[IF].[cuenta_ppto]","[IF].[cuenta_ppto].&amp;["&amp;$A54&amp;"]"),0)</f>
        <v>0</v>
      </c>
      <c r="AB54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valor]",base!$AW$5,"[IF].[mes]","[IF].[mes].&amp;["&amp;AB$8&amp;"]","[IF].[ano]","[IF].[ano].&amp;["&amp;AB$7&amp;"]","[IF].[informacion]","[IF].[informacion].&amp;["&amp;AB$9&amp;"]","[IF].[cuenta_ppto]","[IF].[cuenta_ppto].&amp;["&amp;$A54&amp;"]"),0)</f>
        <v>0</v>
      </c>
      <c r="AC54" s="11">
        <f t="shared" si="169"/>
        <v>0</v>
      </c>
      <c r="AD54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54&amp;"]"),0)*IF($B$2="Real",1,IF(AD$8&lt;6,6/AD$8,1)))*(1+S52)</f>
        <v>0</v>
      </c>
      <c r="AE54" s="116">
        <v>0</v>
      </c>
      <c r="AF54" s="11">
        <f t="shared" si="116"/>
        <v>0</v>
      </c>
      <c r="AG54" s="116">
        <v>0</v>
      </c>
      <c r="AH54" s="11">
        <f t="shared" si="144"/>
        <v>0</v>
      </c>
      <c r="AI54" s="116">
        <v>0</v>
      </c>
      <c r="AJ54" s="11">
        <f t="shared" si="180"/>
        <v>0</v>
      </c>
      <c r="AK54" s="116">
        <v>0</v>
      </c>
      <c r="AL54" s="11"/>
      <c r="AM54" s="11">
        <f>IFERROR(GETPIVOTDATA("[Measures].[Suma de valor]",base!$K$3,"[IF].[departamento_jerarquia2]","[IF].[departamento_jerarquia2].&amp;["&amp;AM$5&amp;"]","[IF].[mes]","[IF].[mes].&amp;["&amp;AM$8&amp;"]","[IF].[ano]","[IF].[ano].&amp;["&amp;AM$7&amp;"]","[IF].[informacion]","[IF].[informacion].&amp;["&amp;AM$9&amp;"]","[IF].[cuenta_ppto]","[IF].[cuenta_ppto].&amp;["&amp;$A54&amp;"]"),0)-BK54</f>
        <v>0</v>
      </c>
      <c r="AN54" s="11">
        <f>IFERROR(GETPIVOTDATA("[Measures].[Suma de valor]",base!$K$3,"[IF].[departamento_jerarquia2]","[IF].[departamento_jerarquia2].&amp;["&amp;AN$5&amp;"]","[IF].[mes]","[IF].[mes].&amp;["&amp;AN$8&amp;"]","[IF].[ano]","[IF].[ano].&amp;["&amp;AN$7&amp;"]","[IF].[informacion]","[IF].[informacion].&amp;["&amp;AN$9&amp;"]","[IF].[cuenta_ppto]","[IF].[cuenta_ppto].&amp;["&amp;$A54&amp;"]"),0)-BL54</f>
        <v>0</v>
      </c>
      <c r="AO54" s="11">
        <f t="shared" si="170"/>
        <v>0</v>
      </c>
      <c r="AP54" s="3">
        <v>0</v>
      </c>
      <c r="AQ54" s="116">
        <v>0</v>
      </c>
      <c r="AR54" s="11">
        <f t="shared" si="118"/>
        <v>0</v>
      </c>
      <c r="AS54" s="116">
        <v>0</v>
      </c>
      <c r="AT54" s="11">
        <f t="shared" si="119"/>
        <v>0</v>
      </c>
      <c r="AU54" s="116">
        <v>0</v>
      </c>
      <c r="AV54" s="11">
        <f t="shared" si="171"/>
        <v>0</v>
      </c>
      <c r="AW54" s="116">
        <v>0</v>
      </c>
      <c r="AX54" s="11"/>
      <c r="AY54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54&amp;"]"),0)</f>
        <v>0</v>
      </c>
      <c r="AZ54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54&amp;"]"),0)</f>
        <v>0</v>
      </c>
      <c r="BA54" s="11">
        <f t="shared" si="172"/>
        <v>0</v>
      </c>
      <c r="BB54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INTERNOS]"),0)*IF($B$2="Real",1,IF(BB$8&lt;6,6/BB$8,1)))*(1+BC54)</f>
        <v>0</v>
      </c>
      <c r="BC54" s="116">
        <v>0</v>
      </c>
      <c r="BD54" s="11">
        <f t="shared" si="122"/>
        <v>0</v>
      </c>
      <c r="BE54" s="116">
        <v>0</v>
      </c>
      <c r="BF54" s="11">
        <f t="shared" si="123"/>
        <v>0</v>
      </c>
      <c r="BG54" s="116">
        <v>0</v>
      </c>
      <c r="BH54" s="11">
        <f t="shared" si="173"/>
        <v>0</v>
      </c>
      <c r="BI54" s="116">
        <v>0</v>
      </c>
      <c r="BJ54" s="11"/>
      <c r="BK54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54&amp;"]"),0)</f>
        <v>0</v>
      </c>
      <c r="BL54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54&amp;"]"),0)</f>
        <v>0</v>
      </c>
      <c r="BM54" s="11">
        <f t="shared" si="174"/>
        <v>0</v>
      </c>
      <c r="BN54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54&amp;"]"),0)*IF($B$2="Real",1,IF(BN$8&lt;6,6/BN$8,1)))*(1+BO54)</f>
        <v>0</v>
      </c>
      <c r="BO54" s="116">
        <v>0</v>
      </c>
      <c r="BP54" s="11">
        <f t="shared" si="126"/>
        <v>0</v>
      </c>
      <c r="BQ54" s="116">
        <v>0</v>
      </c>
      <c r="BR54" s="11">
        <f t="shared" si="127"/>
        <v>0</v>
      </c>
      <c r="BS54" s="116">
        <v>0</v>
      </c>
      <c r="BT54" s="11">
        <f t="shared" si="175"/>
        <v>0</v>
      </c>
      <c r="BU54" s="116">
        <v>0</v>
      </c>
      <c r="BV54" s="11"/>
      <c r="BW54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54&amp;"]"),0)</f>
        <v>0</v>
      </c>
      <c r="BX54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54&amp;"]"),0)</f>
        <v>0</v>
      </c>
      <c r="BY54" s="11">
        <f t="shared" si="176"/>
        <v>0</v>
      </c>
      <c r="BZ54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54&amp;"]"),0)*IF($B$2="Real",1,IF(BZ$8&lt;6,6/BZ$8,1)))*(1+CA54)</f>
        <v>5.8079999999999993E-2</v>
      </c>
      <c r="CA54" s="116">
        <v>0</v>
      </c>
      <c r="CB54" s="11">
        <f t="shared" si="130"/>
        <v>0</v>
      </c>
      <c r="CC54" s="116">
        <v>0</v>
      </c>
      <c r="CD54" s="11">
        <f t="shared" si="154"/>
        <v>5.8079999999999993E-2</v>
      </c>
      <c r="CE54" s="116">
        <v>0</v>
      </c>
      <c r="CF54" s="11">
        <f t="shared" si="177"/>
        <v>5.8079999999999993E-2</v>
      </c>
      <c r="CG54" s="116">
        <v>0</v>
      </c>
      <c r="CH54" s="11"/>
      <c r="CI54" s="11"/>
      <c r="CJ54" s="11"/>
      <c r="CK54" s="11"/>
      <c r="CL54" s="11"/>
      <c r="CM54" s="116"/>
      <c r="CN54" s="11"/>
      <c r="CO54" s="116"/>
      <c r="CP54" s="11"/>
      <c r="CQ54" s="116"/>
      <c r="CR54" s="11"/>
      <c r="CS54" s="116"/>
      <c r="CT54" s="11"/>
      <c r="CU54" s="11"/>
      <c r="CV54" s="11"/>
      <c r="CW54" s="11"/>
      <c r="CX54" s="11"/>
      <c r="CY54" s="116"/>
      <c r="CZ54" s="11"/>
      <c r="DA54" s="116"/>
      <c r="DB54" s="11"/>
      <c r="DC54" s="116"/>
      <c r="DD54" s="11"/>
      <c r="DE54" s="116"/>
      <c r="DF54" s="11"/>
      <c r="DG54" s="9">
        <f t="shared" si="178"/>
        <v>0</v>
      </c>
      <c r="DH54" s="3">
        <f t="shared" si="179"/>
        <v>5.8079999999999993E-2</v>
      </c>
      <c r="DI54" s="119">
        <f t="shared" si="181"/>
        <v>5.8079999999999993E-2</v>
      </c>
      <c r="DK54" s="11">
        <f t="shared" si="182"/>
        <v>0</v>
      </c>
      <c r="DL54" s="11">
        <f t="shared" si="182"/>
        <v>5.8079999999999993E-2</v>
      </c>
      <c r="DM54" s="11">
        <f t="shared" si="182"/>
        <v>5.8079999999999993E-2</v>
      </c>
    </row>
    <row r="55" spans="1:117" outlineLevel="1" x14ac:dyDescent="0.25">
      <c r="A55" t="s">
        <v>152</v>
      </c>
      <c r="B55" t="s">
        <v>187</v>
      </c>
      <c r="C55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55&amp;"]"),0)</f>
        <v>0</v>
      </c>
      <c r="D55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55&amp;"]"),0)</f>
        <v>0</v>
      </c>
      <c r="E55" s="11">
        <f t="shared" si="165"/>
        <v>0</v>
      </c>
      <c r="F55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55&amp;"]"),0)*IF($B$2="Real",1,IF(F$8&lt;6,6/F$8,1)))*(1+G55)</f>
        <v>0</v>
      </c>
      <c r="G55" s="116">
        <v>0</v>
      </c>
      <c r="H55" s="11">
        <f t="shared" si="110"/>
        <v>0</v>
      </c>
      <c r="I55" s="116">
        <v>0</v>
      </c>
      <c r="J55" s="11">
        <f t="shared" si="111"/>
        <v>0</v>
      </c>
      <c r="K55" s="116">
        <v>0</v>
      </c>
      <c r="L55" s="11">
        <f t="shared" si="166"/>
        <v>0</v>
      </c>
      <c r="M55" s="116">
        <v>0</v>
      </c>
      <c r="N55" s="11"/>
      <c r="O55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55&amp;"]"),0)-AA55</f>
        <v>1.2174830000000014</v>
      </c>
      <c r="P55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55&amp;"]"),0)-AB55</f>
        <v>0.60874150000000071</v>
      </c>
      <c r="Q55" s="11">
        <f t="shared" si="167"/>
        <v>0.60874150000000071</v>
      </c>
      <c r="R55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55&amp;"]"),0)*IF($B$2="Real",1,IF(R$8&lt;6,6/R$8,1))-AD55)*(1+S55)</f>
        <v>0.60874199999999945</v>
      </c>
      <c r="S55" s="116">
        <v>0</v>
      </c>
      <c r="T55" s="11">
        <f t="shared" si="114"/>
        <v>0.60874150000000071</v>
      </c>
      <c r="U55" s="116">
        <v>0</v>
      </c>
      <c r="V55" s="11">
        <f t="shared" si="140"/>
        <v>1.2174835000000002</v>
      </c>
      <c r="W55" s="116">
        <v>0</v>
      </c>
      <c r="X55" s="11">
        <f t="shared" si="168"/>
        <v>1.2174835000000002</v>
      </c>
      <c r="Y55" s="116">
        <v>0</v>
      </c>
      <c r="Z55" s="11"/>
      <c r="AA55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valor]",base!$AW$5,"[IF].[mes]","[IF].[mes].&amp;["&amp;AA$8&amp;"]","[IF].[ano]","[IF].[ano].&amp;["&amp;AA$7&amp;"]","[IF].[informacion]","[IF].[informacion].&amp;["&amp;AA$9&amp;"]","[IF].[cuenta_ppto]","[IF].[cuenta_ppto].&amp;["&amp;$A55&amp;"]"),0)</f>
        <v>22.401693000000002</v>
      </c>
      <c r="AB55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valor]",base!$AW$5,"[IF].[mes]","[IF].[mes].&amp;["&amp;AB$8&amp;"]","[IF].[ano]","[IF].[ano].&amp;["&amp;AB$7&amp;"]","[IF].[informacion]","[IF].[informacion].&amp;["&amp;AB$9&amp;"]","[IF].[cuenta_ppto]","[IF].[cuenta_ppto].&amp;["&amp;$A55&amp;"]"),0)</f>
        <v>11.200846500000001</v>
      </c>
      <c r="AC55" s="11">
        <f t="shared" si="169"/>
        <v>11.200846500000001</v>
      </c>
      <c r="AD55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55&amp;"]"),0)*IF($B$2="Real",1,IF(AD$8&lt;6,6/AD$8,1)))*(1+S53)</f>
        <v>11.200847999999999</v>
      </c>
      <c r="AE55" s="116">
        <v>0</v>
      </c>
      <c r="AF55" s="11">
        <f t="shared" si="116"/>
        <v>11.200846500000001</v>
      </c>
      <c r="AG55" s="116">
        <v>0</v>
      </c>
      <c r="AH55" s="11">
        <f t="shared" si="144"/>
        <v>22.401694499999998</v>
      </c>
      <c r="AI55" s="116">
        <v>0</v>
      </c>
      <c r="AJ55" s="11">
        <f t="shared" si="180"/>
        <v>22.401694499999998</v>
      </c>
      <c r="AK55" s="116">
        <v>0</v>
      </c>
      <c r="AL55" s="11"/>
      <c r="AM55" s="11">
        <f>IFERROR(GETPIVOTDATA("[Measures].[Suma de valor]",base!$K$3,"[IF].[departamento_jerarquia2]","[IF].[departamento_jerarquia2].&amp;["&amp;AM$5&amp;"]","[IF].[mes]","[IF].[mes].&amp;["&amp;AM$8&amp;"]","[IF].[ano]","[IF].[ano].&amp;["&amp;AM$7&amp;"]","[IF].[informacion]","[IF].[informacion].&amp;["&amp;AM$9&amp;"]","[IF].[cuenta_ppto]","[IF].[cuenta_ppto].&amp;["&amp;$A55&amp;"]"),0)-BK55</f>
        <v>0</v>
      </c>
      <c r="AN55" s="11">
        <f>IFERROR(GETPIVOTDATA("[Measures].[Suma de valor]",base!$K$3,"[IF].[departamento_jerarquia2]","[IF].[departamento_jerarquia2].&amp;["&amp;AN$5&amp;"]","[IF].[mes]","[IF].[mes].&amp;["&amp;AN$8&amp;"]","[IF].[ano]","[IF].[ano].&amp;["&amp;AN$7&amp;"]","[IF].[informacion]","[IF].[informacion].&amp;["&amp;AN$9&amp;"]","[IF].[cuenta_ppto]","[IF].[cuenta_ppto].&amp;["&amp;$A55&amp;"]"),0)-BL55</f>
        <v>0</v>
      </c>
      <c r="AO55" s="11">
        <f t="shared" si="170"/>
        <v>0</v>
      </c>
      <c r="AP55" s="3">
        <v>0</v>
      </c>
      <c r="AQ55" s="116">
        <v>0</v>
      </c>
      <c r="AR55" s="11">
        <f t="shared" si="118"/>
        <v>0</v>
      </c>
      <c r="AS55" s="116">
        <v>0</v>
      </c>
      <c r="AT55" s="11">
        <f t="shared" si="119"/>
        <v>0</v>
      </c>
      <c r="AU55" s="116">
        <v>0</v>
      </c>
      <c r="AV55" s="11">
        <f t="shared" si="171"/>
        <v>0</v>
      </c>
      <c r="AW55" s="116">
        <v>0</v>
      </c>
      <c r="AX55" s="11"/>
      <c r="AY55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55&amp;"]"),0)</f>
        <v>0</v>
      </c>
      <c r="AZ55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55&amp;"]"),0)</f>
        <v>0</v>
      </c>
      <c r="BA55" s="11">
        <f t="shared" si="172"/>
        <v>0</v>
      </c>
      <c r="BB55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INTERNOS]"),0)*IF($B$2="Real",1,IF(BB$8&lt;6,6/BB$8,1)))*(1+BC55)</f>
        <v>0</v>
      </c>
      <c r="BC55" s="116">
        <v>0</v>
      </c>
      <c r="BD55" s="11">
        <f t="shared" si="122"/>
        <v>0</v>
      </c>
      <c r="BE55" s="116">
        <v>0</v>
      </c>
      <c r="BF55" s="11">
        <f t="shared" si="123"/>
        <v>0</v>
      </c>
      <c r="BG55" s="116">
        <v>0</v>
      </c>
      <c r="BH55" s="11">
        <f t="shared" si="173"/>
        <v>0</v>
      </c>
      <c r="BI55" s="116">
        <v>0</v>
      </c>
      <c r="BJ55" s="11"/>
      <c r="BK55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55&amp;"]"),0)</f>
        <v>0</v>
      </c>
      <c r="BL55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55&amp;"]"),0)</f>
        <v>0</v>
      </c>
      <c r="BM55" s="11">
        <f t="shared" si="174"/>
        <v>0</v>
      </c>
      <c r="BN55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55&amp;"]"),0)*IF($B$2="Real",1,IF(BN$8&lt;6,6/BN$8,1)))*(1+BO55)</f>
        <v>0</v>
      </c>
      <c r="BO55" s="116">
        <v>0</v>
      </c>
      <c r="BP55" s="11">
        <f t="shared" si="126"/>
        <v>0</v>
      </c>
      <c r="BQ55" s="116">
        <v>0</v>
      </c>
      <c r="BR55" s="11">
        <f t="shared" si="127"/>
        <v>0</v>
      </c>
      <c r="BS55" s="116">
        <v>0</v>
      </c>
      <c r="BT55" s="11">
        <f t="shared" si="175"/>
        <v>0</v>
      </c>
      <c r="BU55" s="116">
        <v>0</v>
      </c>
      <c r="BV55" s="11"/>
      <c r="BW55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55&amp;"]"),0)</f>
        <v>0</v>
      </c>
      <c r="BX55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55&amp;"]"),0)</f>
        <v>0</v>
      </c>
      <c r="BY55" s="11">
        <f t="shared" si="176"/>
        <v>0</v>
      </c>
      <c r="BZ55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55&amp;"]"),0)*IF($B$2="Real",1,IF(BZ$8&lt;6,6/BZ$8,1)))*(1+CA55)</f>
        <v>0</v>
      </c>
      <c r="CA55" s="116">
        <v>0</v>
      </c>
      <c r="CB55" s="11">
        <f t="shared" si="130"/>
        <v>0</v>
      </c>
      <c r="CC55" s="116">
        <v>0</v>
      </c>
      <c r="CD55" s="11">
        <f t="shared" si="154"/>
        <v>0</v>
      </c>
      <c r="CE55" s="116">
        <v>0</v>
      </c>
      <c r="CF55" s="11">
        <f t="shared" si="177"/>
        <v>0</v>
      </c>
      <c r="CG55" s="116">
        <v>0</v>
      </c>
      <c r="CH55" s="11"/>
      <c r="CI55" s="11"/>
      <c r="CJ55" s="11"/>
      <c r="CK55" s="11"/>
      <c r="CL55" s="11"/>
      <c r="CM55" s="116"/>
      <c r="CN55" s="11"/>
      <c r="CO55" s="116"/>
      <c r="CP55" s="11"/>
      <c r="CQ55" s="116"/>
      <c r="CR55" s="11"/>
      <c r="CS55" s="116"/>
      <c r="CT55" s="11"/>
      <c r="CU55" s="11"/>
      <c r="CV55" s="11"/>
      <c r="CW55" s="11"/>
      <c r="CX55" s="11"/>
      <c r="CY55" s="116"/>
      <c r="CZ55" s="11"/>
      <c r="DA55" s="116"/>
      <c r="DB55" s="11"/>
      <c r="DC55" s="116"/>
      <c r="DD55" s="11"/>
      <c r="DE55" s="116"/>
      <c r="DF55" s="11"/>
      <c r="DG55" s="9">
        <f t="shared" si="178"/>
        <v>23.619176000000003</v>
      </c>
      <c r="DH55" s="3">
        <f t="shared" si="179"/>
        <v>23.619177999999998</v>
      </c>
      <c r="DI55" s="119">
        <f t="shared" si="181"/>
        <v>23.619177999999998</v>
      </c>
      <c r="DK55" s="11">
        <f t="shared" si="182"/>
        <v>23.619176000000003</v>
      </c>
      <c r="DL55" s="11">
        <f t="shared" si="182"/>
        <v>23.619177999999998</v>
      </c>
      <c r="DM55" s="11">
        <f t="shared" si="182"/>
        <v>23.619177999999998</v>
      </c>
    </row>
    <row r="56" spans="1:117" outlineLevel="1" x14ac:dyDescent="0.25">
      <c r="A56" t="s">
        <v>153</v>
      </c>
      <c r="B56" t="s">
        <v>188</v>
      </c>
      <c r="C56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56&amp;"]"),0)</f>
        <v>0</v>
      </c>
      <c r="D56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56&amp;"]"),0)</f>
        <v>0</v>
      </c>
      <c r="E56" s="11">
        <f t="shared" si="165"/>
        <v>0</v>
      </c>
      <c r="F56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56&amp;"]"),0)*IF($B$2="Real",1,IF(F$8&lt;6,6/F$8,1)))*(1+G56)</f>
        <v>0</v>
      </c>
      <c r="G56" s="116">
        <v>0</v>
      </c>
      <c r="H56" s="11">
        <f t="shared" si="110"/>
        <v>0</v>
      </c>
      <c r="I56" s="116">
        <v>0</v>
      </c>
      <c r="J56" s="11">
        <f t="shared" si="111"/>
        <v>0</v>
      </c>
      <c r="K56" s="116">
        <v>0</v>
      </c>
      <c r="L56" s="11">
        <f t="shared" si="166"/>
        <v>0</v>
      </c>
      <c r="M56" s="116">
        <v>0</v>
      </c>
      <c r="N56" s="11"/>
      <c r="O56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56&amp;"]"),0)-AA56</f>
        <v>1.1999999999999993</v>
      </c>
      <c r="P56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56&amp;"]"),0)-AB56</f>
        <v>0.59999999999999964</v>
      </c>
      <c r="Q56" s="11">
        <f t="shared" si="167"/>
        <v>0.59999999999999964</v>
      </c>
      <c r="R56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56&amp;"]"),0)*IF($B$2="Real",1,IF(R$8&lt;6,6/R$8,1))-AD56)*(1+S56)</f>
        <v>0</v>
      </c>
      <c r="S56" s="116">
        <v>0</v>
      </c>
      <c r="T56" s="11">
        <f t="shared" si="114"/>
        <v>0.59999999999999964</v>
      </c>
      <c r="U56" s="116">
        <v>0</v>
      </c>
      <c r="V56" s="11">
        <f t="shared" si="140"/>
        <v>0.59999999999999964</v>
      </c>
      <c r="W56" s="116">
        <v>0</v>
      </c>
      <c r="X56" s="11">
        <f t="shared" si="168"/>
        <v>0.59999999999999964</v>
      </c>
      <c r="Y56" s="116">
        <v>0</v>
      </c>
      <c r="Z56" s="11"/>
      <c r="AA56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valor]",base!$AW$5,"[IF].[mes]","[IF].[mes].&amp;["&amp;AA$8&amp;"]","[IF].[ano]","[IF].[ano].&amp;["&amp;AA$7&amp;"]","[IF].[informacion]","[IF].[informacion].&amp;["&amp;AA$9&amp;"]","[IF].[cuenta_ppto]","[IF].[cuenta_ppto].&amp;["&amp;$A56&amp;"]"),0)</f>
        <v>10.047499999999999</v>
      </c>
      <c r="AB56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valor]",base!$AW$5,"[IF].[mes]","[IF].[mes].&amp;["&amp;AB$8&amp;"]","[IF].[ano]","[IF].[ano].&amp;["&amp;AB$7&amp;"]","[IF].[informacion]","[IF].[informacion].&amp;["&amp;AB$9&amp;"]","[IF].[cuenta_ppto]","[IF].[cuenta_ppto].&amp;["&amp;$A56&amp;"]"),0)</f>
        <v>4.9373414999999996</v>
      </c>
      <c r="AC56" s="11">
        <f t="shared" si="169"/>
        <v>5.1101584999999998</v>
      </c>
      <c r="AD56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56&amp;"]"),0)*IF($B$2="Real",1,IF(AD$8&lt;6,6/AD$8,1)))*(1+S54)</f>
        <v>0</v>
      </c>
      <c r="AE56" s="116">
        <v>0</v>
      </c>
      <c r="AF56" s="11">
        <f t="shared" si="116"/>
        <v>5.1101584999999998</v>
      </c>
      <c r="AG56" s="116">
        <v>0</v>
      </c>
      <c r="AH56" s="11">
        <f t="shared" si="144"/>
        <v>5.1101584999999998</v>
      </c>
      <c r="AI56" s="116">
        <v>0</v>
      </c>
      <c r="AJ56" s="11">
        <f t="shared" si="180"/>
        <v>5.1101584999999998</v>
      </c>
      <c r="AK56" s="116">
        <v>0</v>
      </c>
      <c r="AL56" s="11"/>
      <c r="AM56" s="11">
        <f>IFERROR(GETPIVOTDATA("[Measures].[Suma de valor]",base!$K$3,"[IF].[departamento_jerarquia2]","[IF].[departamento_jerarquia2].&amp;["&amp;AM$5&amp;"]","[IF].[mes]","[IF].[mes].&amp;["&amp;AM$8&amp;"]","[IF].[ano]","[IF].[ano].&amp;["&amp;AM$7&amp;"]","[IF].[informacion]","[IF].[informacion].&amp;["&amp;AM$9&amp;"]","[IF].[cuenta_ppto]","[IF].[cuenta_ppto].&amp;["&amp;$A56&amp;"]"),0)-BK56</f>
        <v>0</v>
      </c>
      <c r="AN56" s="11">
        <f>IFERROR(GETPIVOTDATA("[Measures].[Suma de valor]",base!$K$3,"[IF].[departamento_jerarquia2]","[IF].[departamento_jerarquia2].&amp;["&amp;AN$5&amp;"]","[IF].[mes]","[IF].[mes].&amp;["&amp;AN$8&amp;"]","[IF].[ano]","[IF].[ano].&amp;["&amp;AN$7&amp;"]","[IF].[informacion]","[IF].[informacion].&amp;["&amp;AN$9&amp;"]","[IF].[cuenta_ppto]","[IF].[cuenta_ppto].&amp;["&amp;$A56&amp;"]"),0)-BL56</f>
        <v>0</v>
      </c>
      <c r="AO56" s="11">
        <f t="shared" si="170"/>
        <v>0</v>
      </c>
      <c r="AP56" s="3">
        <v>0</v>
      </c>
      <c r="AQ56" s="116">
        <v>0</v>
      </c>
      <c r="AR56" s="11">
        <f t="shared" si="118"/>
        <v>0</v>
      </c>
      <c r="AS56" s="116">
        <v>0</v>
      </c>
      <c r="AT56" s="11">
        <f t="shared" si="119"/>
        <v>0</v>
      </c>
      <c r="AU56" s="116">
        <v>0</v>
      </c>
      <c r="AV56" s="11">
        <f t="shared" si="171"/>
        <v>0</v>
      </c>
      <c r="AW56" s="116">
        <v>0</v>
      </c>
      <c r="AX56" s="11"/>
      <c r="AY56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56&amp;"]"),0)</f>
        <v>0</v>
      </c>
      <c r="AZ56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56&amp;"]"),0)</f>
        <v>0</v>
      </c>
      <c r="BA56" s="11">
        <f t="shared" si="172"/>
        <v>0</v>
      </c>
      <c r="BB56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INTERNOS]"),0)*IF($B$2="Real",1,IF(BB$8&lt;6,6/BB$8,1)))*(1+BC56)</f>
        <v>0</v>
      </c>
      <c r="BC56" s="116">
        <v>0</v>
      </c>
      <c r="BD56" s="11">
        <f t="shared" si="122"/>
        <v>0</v>
      </c>
      <c r="BE56" s="116">
        <v>0</v>
      </c>
      <c r="BF56" s="11">
        <f t="shared" si="123"/>
        <v>0</v>
      </c>
      <c r="BG56" s="116">
        <v>0</v>
      </c>
      <c r="BH56" s="11">
        <f t="shared" si="173"/>
        <v>0</v>
      </c>
      <c r="BI56" s="116">
        <v>0</v>
      </c>
      <c r="BJ56" s="11"/>
      <c r="BK56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56&amp;"]"),0)</f>
        <v>0</v>
      </c>
      <c r="BL56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56&amp;"]"),0)</f>
        <v>0</v>
      </c>
      <c r="BM56" s="11">
        <f t="shared" si="174"/>
        <v>0</v>
      </c>
      <c r="BN56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56&amp;"]"),0)*IF($B$2="Real",1,IF(BN$8&lt;6,6/BN$8,1)))*(1+BO56)</f>
        <v>0</v>
      </c>
      <c r="BO56" s="116">
        <v>0</v>
      </c>
      <c r="BP56" s="11">
        <f t="shared" si="126"/>
        <v>0</v>
      </c>
      <c r="BQ56" s="116">
        <v>0</v>
      </c>
      <c r="BR56" s="11">
        <f t="shared" si="127"/>
        <v>0</v>
      </c>
      <c r="BS56" s="116">
        <v>0</v>
      </c>
      <c r="BT56" s="11">
        <f t="shared" si="175"/>
        <v>0</v>
      </c>
      <c r="BU56" s="116">
        <v>0</v>
      </c>
      <c r="BV56" s="11"/>
      <c r="BW56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56&amp;"]"),0)</f>
        <v>42</v>
      </c>
      <c r="BX56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56&amp;"]"),0)</f>
        <v>0</v>
      </c>
      <c r="BY56" s="11">
        <f t="shared" si="176"/>
        <v>42</v>
      </c>
      <c r="BZ56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56&amp;"]"),0)*IF($B$2="Real",1,IF(BZ$8&lt;6,6/BZ$8,1)))*(1+CA56)</f>
        <v>0</v>
      </c>
      <c r="CA56" s="116">
        <v>0</v>
      </c>
      <c r="CB56" s="11">
        <f t="shared" si="130"/>
        <v>42</v>
      </c>
      <c r="CC56" s="116">
        <v>0</v>
      </c>
      <c r="CD56" s="11">
        <f t="shared" si="154"/>
        <v>42</v>
      </c>
      <c r="CE56" s="116">
        <v>0</v>
      </c>
      <c r="CF56" s="11">
        <f t="shared" si="177"/>
        <v>42</v>
      </c>
      <c r="CG56" s="116">
        <v>0</v>
      </c>
      <c r="CH56" s="11"/>
      <c r="CI56" s="11"/>
      <c r="CJ56" s="11"/>
      <c r="CK56" s="11"/>
      <c r="CL56" s="11"/>
      <c r="CM56" s="116"/>
      <c r="CN56" s="11"/>
      <c r="CO56" s="116"/>
      <c r="CP56" s="11"/>
      <c r="CQ56" s="116"/>
      <c r="CR56" s="11"/>
      <c r="CS56" s="116"/>
      <c r="CT56" s="11"/>
      <c r="CU56" s="11"/>
      <c r="CV56" s="11"/>
      <c r="CW56" s="11"/>
      <c r="CX56" s="11"/>
      <c r="CY56" s="116"/>
      <c r="CZ56" s="11"/>
      <c r="DA56" s="116"/>
      <c r="DB56" s="11"/>
      <c r="DC56" s="116"/>
      <c r="DD56" s="11"/>
      <c r="DE56" s="116"/>
      <c r="DF56" s="11"/>
      <c r="DG56" s="9">
        <f t="shared" si="178"/>
        <v>53.247500000000002</v>
      </c>
      <c r="DH56" s="3">
        <f t="shared" si="179"/>
        <v>47.710158499999999</v>
      </c>
      <c r="DI56" s="119">
        <f t="shared" si="181"/>
        <v>47.710158499999999</v>
      </c>
      <c r="DK56" s="11">
        <f t="shared" si="182"/>
        <v>53.247500000000002</v>
      </c>
      <c r="DL56" s="11">
        <f t="shared" si="182"/>
        <v>47.710158499999999</v>
      </c>
      <c r="DM56" s="11">
        <f t="shared" si="182"/>
        <v>47.710158499999999</v>
      </c>
    </row>
    <row r="57" spans="1:117" outlineLevel="1" x14ac:dyDescent="0.25">
      <c r="A57" t="s">
        <v>154</v>
      </c>
      <c r="B57" t="s">
        <v>189</v>
      </c>
      <c r="C57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57&amp;"]"),0)</f>
        <v>0</v>
      </c>
      <c r="D57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57&amp;"]"),0)</f>
        <v>0</v>
      </c>
      <c r="E57" s="11">
        <f t="shared" si="165"/>
        <v>0</v>
      </c>
      <c r="F57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57&amp;"]"),0)*IF($B$2="Real",1,IF(F$8&lt;6,6/F$8,1)))*(1+G57)</f>
        <v>0</v>
      </c>
      <c r="G57" s="116">
        <v>0</v>
      </c>
      <c r="H57" s="11">
        <f t="shared" si="110"/>
        <v>0</v>
      </c>
      <c r="I57" s="116">
        <v>0</v>
      </c>
      <c r="J57" s="11">
        <f t="shared" si="111"/>
        <v>0</v>
      </c>
      <c r="K57" s="116">
        <v>0</v>
      </c>
      <c r="L57" s="11">
        <f t="shared" si="166"/>
        <v>0</v>
      </c>
      <c r="M57" s="116">
        <v>0</v>
      </c>
      <c r="N57" s="11"/>
      <c r="O57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57&amp;"]"),0)-AA57</f>
        <v>1.0255030000000005</v>
      </c>
      <c r="P57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57&amp;"]"),0)-AB57</f>
        <v>0.51275150000000025</v>
      </c>
      <c r="Q57" s="11">
        <f t="shared" si="167"/>
        <v>0.51275150000000025</v>
      </c>
      <c r="R57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57&amp;"]"),0)*IF($B$2="Real",1,IF(R$8&lt;6,6/R$8,1))-AD57)*(1+S57)</f>
        <v>0.51275399999999927</v>
      </c>
      <c r="S57" s="116">
        <v>0</v>
      </c>
      <c r="T57" s="11">
        <f t="shared" si="114"/>
        <v>0.51275150000000025</v>
      </c>
      <c r="U57" s="116">
        <v>0</v>
      </c>
      <c r="V57" s="11">
        <f t="shared" si="140"/>
        <v>1.0255054999999995</v>
      </c>
      <c r="W57" s="116">
        <v>0</v>
      </c>
      <c r="X57" s="11">
        <f t="shared" si="168"/>
        <v>1.0255054999999995</v>
      </c>
      <c r="Y57" s="116">
        <v>0</v>
      </c>
      <c r="Z57" s="11"/>
      <c r="AA57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valor]",base!$AW$5,"[IF].[mes]","[IF].[mes].&amp;["&amp;AA$8&amp;"]","[IF].[ano]","[IF].[ano].&amp;["&amp;AA$7&amp;"]","[IF].[informacion]","[IF].[informacion].&amp;["&amp;AA$9&amp;"]","[IF].[cuenta_ppto]","[IF].[cuenta_ppto].&amp;["&amp;$A57&amp;"]"),0)</f>
        <v>18.869260000000001</v>
      </c>
      <c r="AB57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valor]",base!$AW$5,"[IF].[mes]","[IF].[mes].&amp;["&amp;AB$8&amp;"]","[IF].[ano]","[IF].[ano].&amp;["&amp;AB$7&amp;"]","[IF].[informacion]","[IF].[informacion].&amp;["&amp;AB$9&amp;"]","[IF].[cuenta_ppto]","[IF].[cuenta_ppto].&amp;["&amp;$A57&amp;"]"),0)</f>
        <v>9.4346300000000003</v>
      </c>
      <c r="AC57" s="11">
        <f t="shared" si="169"/>
        <v>9.4346300000000003</v>
      </c>
      <c r="AD57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57&amp;"]"),0)*IF($B$2="Real",1,IF(AD$8&lt;6,6/AD$8,1)))*(1+S55)</f>
        <v>9.434628</v>
      </c>
      <c r="AE57" s="116">
        <v>0</v>
      </c>
      <c r="AF57" s="11">
        <f t="shared" si="116"/>
        <v>9.4346300000000003</v>
      </c>
      <c r="AG57" s="116">
        <v>0</v>
      </c>
      <c r="AH57" s="11">
        <f t="shared" si="144"/>
        <v>18.869258000000002</v>
      </c>
      <c r="AI57" s="116">
        <v>0</v>
      </c>
      <c r="AJ57" s="11">
        <f t="shared" si="180"/>
        <v>18.869258000000002</v>
      </c>
      <c r="AK57" s="116">
        <v>0</v>
      </c>
      <c r="AL57" s="11"/>
      <c r="AM57" s="11">
        <f>IFERROR(GETPIVOTDATA("[Measures].[Suma de valor]",base!$K$3,"[IF].[departamento_jerarquia2]","[IF].[departamento_jerarquia2].&amp;["&amp;AM$5&amp;"]","[IF].[mes]","[IF].[mes].&amp;["&amp;AM$8&amp;"]","[IF].[ano]","[IF].[ano].&amp;["&amp;AM$7&amp;"]","[IF].[informacion]","[IF].[informacion].&amp;["&amp;AM$9&amp;"]","[IF].[cuenta_ppto]","[IF].[cuenta_ppto].&amp;["&amp;$A57&amp;"]"),0)-BK57</f>
        <v>0</v>
      </c>
      <c r="AN57" s="11">
        <f>IFERROR(GETPIVOTDATA("[Measures].[Suma de valor]",base!$K$3,"[IF].[departamento_jerarquia2]","[IF].[departamento_jerarquia2].&amp;["&amp;AN$5&amp;"]","[IF].[mes]","[IF].[mes].&amp;["&amp;AN$8&amp;"]","[IF].[ano]","[IF].[ano].&amp;["&amp;AN$7&amp;"]","[IF].[informacion]","[IF].[informacion].&amp;["&amp;AN$9&amp;"]","[IF].[cuenta_ppto]","[IF].[cuenta_ppto].&amp;["&amp;$A57&amp;"]"),0)-BL57</f>
        <v>0</v>
      </c>
      <c r="AO57" s="11">
        <f t="shared" si="170"/>
        <v>0</v>
      </c>
      <c r="AP57" s="3">
        <v>0</v>
      </c>
      <c r="AQ57" s="116">
        <v>0</v>
      </c>
      <c r="AR57" s="11">
        <f t="shared" si="118"/>
        <v>0</v>
      </c>
      <c r="AS57" s="116">
        <v>0</v>
      </c>
      <c r="AT57" s="11">
        <f t="shared" si="119"/>
        <v>0</v>
      </c>
      <c r="AU57" s="116">
        <v>0</v>
      </c>
      <c r="AV57" s="11">
        <f t="shared" si="171"/>
        <v>0</v>
      </c>
      <c r="AW57" s="116">
        <v>0</v>
      </c>
      <c r="AX57" s="11"/>
      <c r="AY57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57&amp;"]"),0)</f>
        <v>0</v>
      </c>
      <c r="AZ57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57&amp;"]"),0)</f>
        <v>0</v>
      </c>
      <c r="BA57" s="11">
        <f t="shared" si="172"/>
        <v>0</v>
      </c>
      <c r="BB57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INTERNOS]"),0)*IF($B$2="Real",1,IF(BB$8&lt;6,6/BB$8,1)))*(1+BC57)</f>
        <v>0</v>
      </c>
      <c r="BC57" s="116">
        <v>0</v>
      </c>
      <c r="BD57" s="11">
        <f t="shared" si="122"/>
        <v>0</v>
      </c>
      <c r="BE57" s="116">
        <v>0</v>
      </c>
      <c r="BF57" s="11">
        <f t="shared" si="123"/>
        <v>0</v>
      </c>
      <c r="BG57" s="116">
        <v>0</v>
      </c>
      <c r="BH57" s="11">
        <f t="shared" si="173"/>
        <v>0</v>
      </c>
      <c r="BI57" s="116">
        <v>0</v>
      </c>
      <c r="BJ57" s="11"/>
      <c r="BK57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57&amp;"]"),0)</f>
        <v>0</v>
      </c>
      <c r="BL57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57&amp;"]"),0)</f>
        <v>0</v>
      </c>
      <c r="BM57" s="11">
        <f t="shared" si="174"/>
        <v>0</v>
      </c>
      <c r="BN57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57&amp;"]"),0)*IF($B$2="Real",1,IF(BN$8&lt;6,6/BN$8,1)))*(1+BO57)</f>
        <v>0</v>
      </c>
      <c r="BO57" s="116">
        <v>0</v>
      </c>
      <c r="BP57" s="11">
        <f t="shared" si="126"/>
        <v>0</v>
      </c>
      <c r="BQ57" s="116">
        <v>0</v>
      </c>
      <c r="BR57" s="11">
        <f t="shared" si="127"/>
        <v>0</v>
      </c>
      <c r="BS57" s="116">
        <v>0</v>
      </c>
      <c r="BT57" s="11">
        <f t="shared" si="175"/>
        <v>0</v>
      </c>
      <c r="BU57" s="116">
        <v>0</v>
      </c>
      <c r="BV57" s="11"/>
      <c r="BW57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57&amp;"]"),0)</f>
        <v>0</v>
      </c>
      <c r="BX57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57&amp;"]"),0)</f>
        <v>0</v>
      </c>
      <c r="BY57" s="11">
        <f t="shared" si="176"/>
        <v>0</v>
      </c>
      <c r="BZ57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57&amp;"]"),0)*IF($B$2="Real",1,IF(BZ$8&lt;6,6/BZ$8,1)))*(1+CA57)</f>
        <v>0</v>
      </c>
      <c r="CA57" s="116">
        <v>0</v>
      </c>
      <c r="CB57" s="11">
        <f t="shared" si="130"/>
        <v>0</v>
      </c>
      <c r="CC57" s="116">
        <v>0</v>
      </c>
      <c r="CD57" s="11">
        <f t="shared" si="154"/>
        <v>0</v>
      </c>
      <c r="CE57" s="116">
        <v>0</v>
      </c>
      <c r="CF57" s="11">
        <f t="shared" si="177"/>
        <v>0</v>
      </c>
      <c r="CG57" s="116">
        <v>0</v>
      </c>
      <c r="CH57" s="11"/>
      <c r="CI57" s="11"/>
      <c r="CJ57" s="11"/>
      <c r="CK57" s="11"/>
      <c r="CL57" s="11"/>
      <c r="CM57" s="116"/>
      <c r="CN57" s="11"/>
      <c r="CO57" s="116"/>
      <c r="CP57" s="11"/>
      <c r="CQ57" s="116"/>
      <c r="CR57" s="11"/>
      <c r="CS57" s="116"/>
      <c r="CT57" s="11"/>
      <c r="CU57" s="11"/>
      <c r="CV57" s="11"/>
      <c r="CW57" s="11"/>
      <c r="CX57" s="11"/>
      <c r="CY57" s="116"/>
      <c r="CZ57" s="11"/>
      <c r="DA57" s="116"/>
      <c r="DB57" s="11"/>
      <c r="DC57" s="116"/>
      <c r="DD57" s="11"/>
      <c r="DE57" s="116"/>
      <c r="DF57" s="11"/>
      <c r="DG57" s="9">
        <f t="shared" si="178"/>
        <v>19.894763000000001</v>
      </c>
      <c r="DH57" s="3">
        <f t="shared" si="179"/>
        <v>19.894763500000003</v>
      </c>
      <c r="DI57" s="119">
        <f t="shared" si="181"/>
        <v>19.894763500000003</v>
      </c>
      <c r="DK57" s="11">
        <f t="shared" si="182"/>
        <v>19.894763000000001</v>
      </c>
      <c r="DL57" s="11">
        <f t="shared" si="182"/>
        <v>19.894763500000003</v>
      </c>
      <c r="DM57" s="11">
        <f t="shared" si="182"/>
        <v>19.894763500000003</v>
      </c>
    </row>
    <row r="58" spans="1:117" outlineLevel="1" x14ac:dyDescent="0.25">
      <c r="A58" t="s">
        <v>155</v>
      </c>
      <c r="B58" t="s">
        <v>190</v>
      </c>
      <c r="C58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58&amp;"]"),0)</f>
        <v>0</v>
      </c>
      <c r="D58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58&amp;"]"),0)</f>
        <v>0</v>
      </c>
      <c r="E58" s="11">
        <f t="shared" si="165"/>
        <v>0</v>
      </c>
      <c r="F58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58&amp;"]"),0)*IF($B$2="Real",1,IF(F$8&lt;6,6/F$8,1)))*(1+G58)</f>
        <v>0</v>
      </c>
      <c r="G58" s="116">
        <v>0</v>
      </c>
      <c r="H58" s="11">
        <f t="shared" si="110"/>
        <v>0</v>
      </c>
      <c r="I58" s="116">
        <v>0</v>
      </c>
      <c r="J58" s="11">
        <f t="shared" si="111"/>
        <v>0</v>
      </c>
      <c r="K58" s="116">
        <v>0</v>
      </c>
      <c r="L58" s="11">
        <f t="shared" si="166"/>
        <v>0</v>
      </c>
      <c r="M58" s="116">
        <v>0</v>
      </c>
      <c r="N58" s="11"/>
      <c r="O58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58&amp;"]"),0)-AA58</f>
        <v>2.0814930000000018</v>
      </c>
      <c r="P58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58&amp;"]"),0)-AB58</f>
        <v>1.0403302013999998</v>
      </c>
      <c r="Q58" s="11">
        <f t="shared" si="167"/>
        <v>1.041162798600002</v>
      </c>
      <c r="R58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58&amp;"]"),0)*IF($B$2="Real",1,IF(R$8&lt;6,6/R$8,1))-AD58)*(1+S58)</f>
        <v>1.0407480000000007</v>
      </c>
      <c r="S58" s="116">
        <v>0</v>
      </c>
      <c r="T58" s="11">
        <f t="shared" si="114"/>
        <v>1.041162798600002</v>
      </c>
      <c r="U58" s="116">
        <v>0</v>
      </c>
      <c r="V58" s="11">
        <f t="shared" si="140"/>
        <v>2.0819107986000027</v>
      </c>
      <c r="W58" s="116">
        <v>0</v>
      </c>
      <c r="X58" s="11">
        <f t="shared" si="168"/>
        <v>2.0819107986000027</v>
      </c>
      <c r="Y58" s="116">
        <v>0</v>
      </c>
      <c r="Z58" s="11"/>
      <c r="AA58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valor]",base!$AW$5,"[IF].[mes]","[IF].[mes].&amp;["&amp;AA$8&amp;"]","[IF].[ano]","[IF].[ano].&amp;["&amp;AA$7&amp;"]","[IF].[informacion]","[IF].[informacion].&amp;["&amp;AA$9&amp;"]","[IF].[cuenta_ppto]","[IF].[cuenta_ppto].&amp;["&amp;$A58&amp;"]"),0)</f>
        <v>38.299469999999999</v>
      </c>
      <c r="AB58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valor]",base!$AW$5,"[IF].[mes]","[IF].[mes].&amp;["&amp;AB$8&amp;"]","[IF].[ano]","[IF].[ano].&amp;["&amp;AB$7&amp;"]","[IF].[informacion]","[IF].[informacion].&amp;["&amp;AB$9&amp;"]","[IF].[cuenta_ppto]","[IF].[cuenta_ppto].&amp;["&amp;$A58&amp;"]"),0)</f>
        <v>19.142075106000004</v>
      </c>
      <c r="AC58" s="11">
        <f t="shared" si="169"/>
        <v>19.157394893999996</v>
      </c>
      <c r="AD58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58&amp;"]"),0)*IF($B$2="Real",1,IF(AD$8&lt;6,6/AD$8,1)))*(1+S56)</f>
        <v>19.149737999999999</v>
      </c>
      <c r="AE58" s="116">
        <v>0</v>
      </c>
      <c r="AF58" s="11">
        <f t="shared" si="116"/>
        <v>19.157394893999996</v>
      </c>
      <c r="AG58" s="116">
        <v>0</v>
      </c>
      <c r="AH58" s="11">
        <f t="shared" si="144"/>
        <v>38.307132893999992</v>
      </c>
      <c r="AI58" s="116">
        <v>0</v>
      </c>
      <c r="AJ58" s="11">
        <f t="shared" si="180"/>
        <v>38.307132893999992</v>
      </c>
      <c r="AK58" s="116">
        <v>0</v>
      </c>
      <c r="AL58" s="11"/>
      <c r="AM58" s="11">
        <f>IFERROR(GETPIVOTDATA("[Measures].[Suma de valor]",base!$K$3,"[IF].[departamento_jerarquia2]","[IF].[departamento_jerarquia2].&amp;["&amp;AM$5&amp;"]","[IF].[mes]","[IF].[mes].&amp;["&amp;AM$8&amp;"]","[IF].[ano]","[IF].[ano].&amp;["&amp;AM$7&amp;"]","[IF].[informacion]","[IF].[informacion].&amp;["&amp;AM$9&amp;"]","[IF].[cuenta_ppto]","[IF].[cuenta_ppto].&amp;["&amp;$A58&amp;"]"),0)-BK58</f>
        <v>0</v>
      </c>
      <c r="AN58" s="11">
        <f>IFERROR(GETPIVOTDATA("[Measures].[Suma de valor]",base!$K$3,"[IF].[departamento_jerarquia2]","[IF].[departamento_jerarquia2].&amp;["&amp;AN$5&amp;"]","[IF].[mes]","[IF].[mes].&amp;["&amp;AN$8&amp;"]","[IF].[ano]","[IF].[ano].&amp;["&amp;AN$7&amp;"]","[IF].[informacion]","[IF].[informacion].&amp;["&amp;AN$9&amp;"]","[IF].[cuenta_ppto]","[IF].[cuenta_ppto].&amp;["&amp;$A58&amp;"]"),0)-BL58</f>
        <v>0</v>
      </c>
      <c r="AO58" s="11">
        <f t="shared" si="170"/>
        <v>0</v>
      </c>
      <c r="AP58" s="3">
        <v>0</v>
      </c>
      <c r="AQ58" s="116">
        <v>0</v>
      </c>
      <c r="AR58" s="11">
        <f t="shared" si="118"/>
        <v>0</v>
      </c>
      <c r="AS58" s="116">
        <v>0</v>
      </c>
      <c r="AT58" s="11">
        <f t="shared" si="119"/>
        <v>0</v>
      </c>
      <c r="AU58" s="116">
        <v>0</v>
      </c>
      <c r="AV58" s="11">
        <f t="shared" si="171"/>
        <v>0</v>
      </c>
      <c r="AW58" s="116">
        <v>0</v>
      </c>
      <c r="AX58" s="11"/>
      <c r="AY58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58&amp;"]"),0)</f>
        <v>0</v>
      </c>
      <c r="AZ58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58&amp;"]"),0)</f>
        <v>0</v>
      </c>
      <c r="BA58" s="11">
        <f t="shared" si="172"/>
        <v>0</v>
      </c>
      <c r="BB58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INTERNOS]"),0)*IF($B$2="Real",1,IF(BB$8&lt;6,6/BB$8,1)))*(1+BC58)</f>
        <v>0</v>
      </c>
      <c r="BC58" s="116">
        <v>0</v>
      </c>
      <c r="BD58" s="11">
        <f t="shared" si="122"/>
        <v>0</v>
      </c>
      <c r="BE58" s="116">
        <v>0</v>
      </c>
      <c r="BF58" s="11">
        <f t="shared" si="123"/>
        <v>0</v>
      </c>
      <c r="BG58" s="116">
        <v>0</v>
      </c>
      <c r="BH58" s="11">
        <f t="shared" si="173"/>
        <v>0</v>
      </c>
      <c r="BI58" s="116">
        <v>0</v>
      </c>
      <c r="BJ58" s="11"/>
      <c r="BK58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58&amp;"]"),0)</f>
        <v>0</v>
      </c>
      <c r="BL58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58&amp;"]"),0)</f>
        <v>0</v>
      </c>
      <c r="BM58" s="11">
        <f t="shared" si="174"/>
        <v>0</v>
      </c>
      <c r="BN58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58&amp;"]"),0)*IF($B$2="Real",1,IF(BN$8&lt;6,6/BN$8,1)))*(1+BO58)</f>
        <v>0</v>
      </c>
      <c r="BO58" s="116">
        <v>0</v>
      </c>
      <c r="BP58" s="11">
        <f t="shared" si="126"/>
        <v>0</v>
      </c>
      <c r="BQ58" s="116">
        <v>0</v>
      </c>
      <c r="BR58" s="11">
        <f t="shared" si="127"/>
        <v>0</v>
      </c>
      <c r="BS58" s="116">
        <v>0</v>
      </c>
      <c r="BT58" s="11">
        <f t="shared" si="175"/>
        <v>0</v>
      </c>
      <c r="BU58" s="116">
        <v>0</v>
      </c>
      <c r="BV58" s="11"/>
      <c r="BW58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58&amp;"]"),0)</f>
        <v>0</v>
      </c>
      <c r="BX58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58&amp;"]"),0)</f>
        <v>0</v>
      </c>
      <c r="BY58" s="11">
        <f t="shared" si="176"/>
        <v>0</v>
      </c>
      <c r="BZ58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58&amp;"]"),0)*IF($B$2="Real",1,IF(BZ$8&lt;6,6/BZ$8,1)))*(1+CA58)</f>
        <v>0</v>
      </c>
      <c r="CA58" s="116">
        <v>0</v>
      </c>
      <c r="CB58" s="11">
        <f t="shared" si="130"/>
        <v>0</v>
      </c>
      <c r="CC58" s="116">
        <v>0</v>
      </c>
      <c r="CD58" s="11">
        <f t="shared" si="154"/>
        <v>0</v>
      </c>
      <c r="CE58" s="116">
        <v>0</v>
      </c>
      <c r="CF58" s="11">
        <f t="shared" si="177"/>
        <v>0</v>
      </c>
      <c r="CG58" s="116">
        <v>0</v>
      </c>
      <c r="CH58" s="11"/>
      <c r="CI58" s="11"/>
      <c r="CJ58" s="11"/>
      <c r="CK58" s="11"/>
      <c r="CL58" s="11"/>
      <c r="CM58" s="116"/>
      <c r="CN58" s="11"/>
      <c r="CO58" s="116"/>
      <c r="CP58" s="11"/>
      <c r="CQ58" s="116"/>
      <c r="CR58" s="11"/>
      <c r="CS58" s="116"/>
      <c r="CT58" s="11"/>
      <c r="CU58" s="11"/>
      <c r="CV58" s="11"/>
      <c r="CW58" s="11"/>
      <c r="CX58" s="11"/>
      <c r="CY58" s="116"/>
      <c r="CZ58" s="11"/>
      <c r="DA58" s="116"/>
      <c r="DB58" s="11"/>
      <c r="DC58" s="116"/>
      <c r="DD58" s="11"/>
      <c r="DE58" s="116"/>
      <c r="DF58" s="11"/>
      <c r="DG58" s="9">
        <f t="shared" si="178"/>
        <v>40.380963000000001</v>
      </c>
      <c r="DH58" s="3">
        <f t="shared" si="179"/>
        <v>40.389043692599998</v>
      </c>
      <c r="DI58" s="119">
        <f t="shared" si="181"/>
        <v>40.389043692599998</v>
      </c>
      <c r="DK58" s="11">
        <f t="shared" si="182"/>
        <v>40.380963000000001</v>
      </c>
      <c r="DL58" s="11">
        <f t="shared" si="182"/>
        <v>40.389043692599998</v>
      </c>
      <c r="DM58" s="11">
        <f t="shared" si="182"/>
        <v>40.389043692599998</v>
      </c>
    </row>
    <row r="59" spans="1:117" outlineLevel="1" x14ac:dyDescent="0.25">
      <c r="A59" t="s">
        <v>156</v>
      </c>
      <c r="B59" t="s">
        <v>191</v>
      </c>
      <c r="C59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59&amp;"]"),0)</f>
        <v>0</v>
      </c>
      <c r="D59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59&amp;"]"),0)</f>
        <v>0</v>
      </c>
      <c r="E59" s="11">
        <f t="shared" si="165"/>
        <v>0</v>
      </c>
      <c r="F59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59&amp;"]"),0)*IF($B$2="Real",1,IF(F$8&lt;6,6/F$8,1)))*(1+G59)</f>
        <v>0</v>
      </c>
      <c r="G59" s="116">
        <v>0</v>
      </c>
      <c r="H59" s="11">
        <f t="shared" si="110"/>
        <v>0</v>
      </c>
      <c r="I59" s="116">
        <v>0</v>
      </c>
      <c r="J59" s="11">
        <f t="shared" si="111"/>
        <v>0</v>
      </c>
      <c r="K59" s="116">
        <v>0</v>
      </c>
      <c r="L59" s="11">
        <f t="shared" si="166"/>
        <v>0</v>
      </c>
      <c r="M59" s="116">
        <v>0</v>
      </c>
      <c r="N59" s="11"/>
      <c r="O59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59&amp;"]"),0)-AA59</f>
        <v>0.81938099999999991</v>
      </c>
      <c r="P59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59&amp;"]"),0)-AB59</f>
        <v>0.40969049999999996</v>
      </c>
      <c r="Q59" s="11">
        <f t="shared" si="167"/>
        <v>0.40969049999999996</v>
      </c>
      <c r="R59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59&amp;"]"),0)*IF($B$2="Real",1,IF(R$8&lt;6,6/R$8,1))-AD59)*(1+S59)</f>
        <v>0.40969199999999972</v>
      </c>
      <c r="S59" s="116">
        <v>0</v>
      </c>
      <c r="T59" s="11">
        <f t="shared" si="114"/>
        <v>0.40969049999999996</v>
      </c>
      <c r="U59" s="116">
        <v>0</v>
      </c>
      <c r="V59" s="11">
        <f t="shared" si="140"/>
        <v>0.81938249999999968</v>
      </c>
      <c r="W59" s="116">
        <v>0</v>
      </c>
      <c r="X59" s="11">
        <f t="shared" si="168"/>
        <v>0.81938249999999968</v>
      </c>
      <c r="Y59" s="116">
        <v>0</v>
      </c>
      <c r="Z59" s="11"/>
      <c r="AA59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valor]",base!$AW$5,"[IF].[mes]","[IF].[mes].&amp;["&amp;AA$8&amp;"]","[IF].[ano]","[IF].[ano].&amp;["&amp;AA$7&amp;"]","[IF].[informacion]","[IF].[informacion].&amp;["&amp;AA$9&amp;"]","[IF].[cuenta_ppto]","[IF].[cuenta_ppto].&amp;["&amp;$A59&amp;"]"),0)</f>
        <v>15.076610000000001</v>
      </c>
      <c r="AB59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valor]",base!$AW$5,"[IF].[mes]","[IF].[mes].&amp;["&amp;AB$8&amp;"]","[IF].[ano]","[IF].[ano].&amp;["&amp;AB$7&amp;"]","[IF].[informacion]","[IF].[informacion].&amp;["&amp;AB$9&amp;"]","[IF].[cuenta_ppto]","[IF].[cuenta_ppto].&amp;["&amp;$A59&amp;"]"),0)</f>
        <v>7.5383050000000003</v>
      </c>
      <c r="AC59" s="11">
        <f t="shared" si="169"/>
        <v>7.5383050000000003</v>
      </c>
      <c r="AD59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59&amp;"]"),0)*IF($B$2="Real",1,IF(AD$8&lt;6,6/AD$8,1)))*(1+S57)</f>
        <v>7.5383040000000001</v>
      </c>
      <c r="AE59" s="116">
        <v>0</v>
      </c>
      <c r="AF59" s="11">
        <f t="shared" si="116"/>
        <v>7.5383050000000003</v>
      </c>
      <c r="AG59" s="116">
        <v>0</v>
      </c>
      <c r="AH59" s="11">
        <f t="shared" si="144"/>
        <v>15.076609000000001</v>
      </c>
      <c r="AI59" s="116">
        <v>0</v>
      </c>
      <c r="AJ59" s="11">
        <f t="shared" si="180"/>
        <v>15.076609000000001</v>
      </c>
      <c r="AK59" s="116">
        <v>0</v>
      </c>
      <c r="AL59" s="11"/>
      <c r="AM59" s="11">
        <f>IFERROR(GETPIVOTDATA("[Measures].[Suma de valor]",base!$K$3,"[IF].[departamento_jerarquia2]","[IF].[departamento_jerarquia2].&amp;["&amp;AM$5&amp;"]","[IF].[mes]","[IF].[mes].&amp;["&amp;AM$8&amp;"]","[IF].[ano]","[IF].[ano].&amp;["&amp;AM$7&amp;"]","[IF].[informacion]","[IF].[informacion].&amp;["&amp;AM$9&amp;"]","[IF].[cuenta_ppto]","[IF].[cuenta_ppto].&amp;["&amp;$A59&amp;"]"),0)-BK59</f>
        <v>0</v>
      </c>
      <c r="AN59" s="11">
        <f>IFERROR(GETPIVOTDATA("[Measures].[Suma de valor]",base!$K$3,"[IF].[departamento_jerarquia2]","[IF].[departamento_jerarquia2].&amp;["&amp;AN$5&amp;"]","[IF].[mes]","[IF].[mes].&amp;["&amp;AN$8&amp;"]","[IF].[ano]","[IF].[ano].&amp;["&amp;AN$7&amp;"]","[IF].[informacion]","[IF].[informacion].&amp;["&amp;AN$9&amp;"]","[IF].[cuenta_ppto]","[IF].[cuenta_ppto].&amp;["&amp;$A59&amp;"]"),0)-BL59</f>
        <v>0</v>
      </c>
      <c r="AO59" s="11">
        <f t="shared" si="170"/>
        <v>0</v>
      </c>
      <c r="AP59" s="3">
        <v>0</v>
      </c>
      <c r="AQ59" s="116">
        <v>0</v>
      </c>
      <c r="AR59" s="11">
        <f t="shared" si="118"/>
        <v>0</v>
      </c>
      <c r="AS59" s="116">
        <v>0</v>
      </c>
      <c r="AT59" s="11">
        <f t="shared" si="119"/>
        <v>0</v>
      </c>
      <c r="AU59" s="116">
        <v>0</v>
      </c>
      <c r="AV59" s="11">
        <f t="shared" si="171"/>
        <v>0</v>
      </c>
      <c r="AW59" s="116">
        <v>0</v>
      </c>
      <c r="AX59" s="11"/>
      <c r="AY59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59&amp;"]"),0)</f>
        <v>0</v>
      </c>
      <c r="AZ59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59&amp;"]"),0)</f>
        <v>0</v>
      </c>
      <c r="BA59" s="11">
        <f t="shared" si="172"/>
        <v>0</v>
      </c>
      <c r="BB59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INTERNOS]"),0)*IF($B$2="Real",1,IF(BB$8&lt;6,6/BB$8,1)))*(1+BC59)</f>
        <v>0</v>
      </c>
      <c r="BC59" s="116">
        <v>0</v>
      </c>
      <c r="BD59" s="11">
        <f t="shared" si="122"/>
        <v>0</v>
      </c>
      <c r="BE59" s="116">
        <v>0</v>
      </c>
      <c r="BF59" s="11">
        <f t="shared" si="123"/>
        <v>0</v>
      </c>
      <c r="BG59" s="116">
        <v>0</v>
      </c>
      <c r="BH59" s="11">
        <f t="shared" si="173"/>
        <v>0</v>
      </c>
      <c r="BI59" s="116">
        <v>0</v>
      </c>
      <c r="BJ59" s="11"/>
      <c r="BK59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59&amp;"]"),0)</f>
        <v>0</v>
      </c>
      <c r="BL59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59&amp;"]"),0)</f>
        <v>0</v>
      </c>
      <c r="BM59" s="11">
        <f t="shared" si="174"/>
        <v>0</v>
      </c>
      <c r="BN59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59&amp;"]"),0)*IF($B$2="Real",1,IF(BN$8&lt;6,6/BN$8,1)))*(1+BO59)</f>
        <v>0</v>
      </c>
      <c r="BO59" s="116">
        <v>0</v>
      </c>
      <c r="BP59" s="11">
        <f t="shared" si="126"/>
        <v>0</v>
      </c>
      <c r="BQ59" s="116">
        <v>0</v>
      </c>
      <c r="BR59" s="11">
        <f t="shared" si="127"/>
        <v>0</v>
      </c>
      <c r="BS59" s="116">
        <v>0</v>
      </c>
      <c r="BT59" s="11">
        <f t="shared" si="175"/>
        <v>0</v>
      </c>
      <c r="BU59" s="116">
        <v>0</v>
      </c>
      <c r="BV59" s="11"/>
      <c r="BW59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59&amp;"]"),0)</f>
        <v>0</v>
      </c>
      <c r="BX59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59&amp;"]"),0)</f>
        <v>0</v>
      </c>
      <c r="BY59" s="11">
        <f t="shared" si="176"/>
        <v>0</v>
      </c>
      <c r="BZ59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59&amp;"]"),0)*IF($B$2="Real",1,IF(BZ$8&lt;6,6/BZ$8,1)))*(1+CA59)</f>
        <v>0</v>
      </c>
      <c r="CA59" s="116">
        <v>0</v>
      </c>
      <c r="CB59" s="11">
        <f t="shared" si="130"/>
        <v>0</v>
      </c>
      <c r="CC59" s="116">
        <v>0</v>
      </c>
      <c r="CD59" s="11">
        <f t="shared" si="154"/>
        <v>0</v>
      </c>
      <c r="CE59" s="116">
        <v>0</v>
      </c>
      <c r="CF59" s="11">
        <f t="shared" si="177"/>
        <v>0</v>
      </c>
      <c r="CG59" s="116">
        <v>0</v>
      </c>
      <c r="CH59" s="11"/>
      <c r="CI59" s="11"/>
      <c r="CJ59" s="11"/>
      <c r="CK59" s="11"/>
      <c r="CL59" s="11"/>
      <c r="CM59" s="116"/>
      <c r="CN59" s="11"/>
      <c r="CO59" s="116"/>
      <c r="CP59" s="11"/>
      <c r="CQ59" s="116"/>
      <c r="CR59" s="11"/>
      <c r="CS59" s="116"/>
      <c r="CT59" s="11"/>
      <c r="CU59" s="11"/>
      <c r="CV59" s="11"/>
      <c r="CW59" s="11"/>
      <c r="CX59" s="11"/>
      <c r="CY59" s="116"/>
      <c r="CZ59" s="11"/>
      <c r="DA59" s="116"/>
      <c r="DB59" s="11"/>
      <c r="DC59" s="116"/>
      <c r="DD59" s="11"/>
      <c r="DE59" s="116"/>
      <c r="DF59" s="11"/>
      <c r="DG59" s="9">
        <f t="shared" si="178"/>
        <v>15.895991</v>
      </c>
      <c r="DH59" s="3">
        <f t="shared" si="179"/>
        <v>15.895991500000001</v>
      </c>
      <c r="DI59" s="119">
        <f t="shared" si="181"/>
        <v>15.895991500000001</v>
      </c>
      <c r="DK59" s="11">
        <f t="shared" si="182"/>
        <v>15.895991</v>
      </c>
      <c r="DL59" s="11">
        <f t="shared" si="182"/>
        <v>15.895991500000001</v>
      </c>
      <c r="DM59" s="11">
        <f t="shared" si="182"/>
        <v>15.895991500000001</v>
      </c>
    </row>
    <row r="60" spans="1:117" outlineLevel="1" x14ac:dyDescent="0.25">
      <c r="A60" t="s">
        <v>157</v>
      </c>
      <c r="B60" t="s">
        <v>192</v>
      </c>
      <c r="C60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60&amp;"]"),0)</f>
        <v>0</v>
      </c>
      <c r="D60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60&amp;"]"),0)</f>
        <v>0</v>
      </c>
      <c r="E60" s="11">
        <f t="shared" si="165"/>
        <v>0</v>
      </c>
      <c r="F60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60&amp;"]"),0)*IF($B$2="Real",1,IF(F$8&lt;6,6/F$8,1)))*(1+G60)</f>
        <v>0</v>
      </c>
      <c r="G60" s="116">
        <v>0</v>
      </c>
      <c r="H60" s="11">
        <f t="shared" si="110"/>
        <v>0</v>
      </c>
      <c r="I60" s="116">
        <v>0</v>
      </c>
      <c r="J60" s="11">
        <f t="shared" si="111"/>
        <v>0</v>
      </c>
      <c r="K60" s="116">
        <v>0</v>
      </c>
      <c r="L60" s="11">
        <f t="shared" si="166"/>
        <v>0</v>
      </c>
      <c r="M60" s="116">
        <v>0</v>
      </c>
      <c r="N60" s="11"/>
      <c r="O60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60&amp;"]"),0)-AA60</f>
        <v>2.6025809999999998</v>
      </c>
      <c r="P60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60&amp;"]"),0)-AB60</f>
        <v>2.6025809999999998</v>
      </c>
      <c r="Q60" s="11">
        <f t="shared" si="167"/>
        <v>0</v>
      </c>
      <c r="R60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60&amp;"]"),0)*IF($B$2="Real",1,IF(R$8&lt;6,6/R$8,1))-AD60)*(1+S60)</f>
        <v>0</v>
      </c>
      <c r="S60" s="116">
        <v>0</v>
      </c>
      <c r="T60" s="11">
        <f t="shared" si="114"/>
        <v>0</v>
      </c>
      <c r="U60" s="116">
        <v>0</v>
      </c>
      <c r="V60" s="11">
        <f t="shared" si="140"/>
        <v>0</v>
      </c>
      <c r="W60" s="116">
        <v>0</v>
      </c>
      <c r="X60" s="11">
        <f t="shared" si="168"/>
        <v>0</v>
      </c>
      <c r="Y60" s="116">
        <v>0</v>
      </c>
      <c r="Z60" s="11"/>
      <c r="AA60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valor]",base!$AW$5,"[IF].[mes]","[IF].[mes].&amp;["&amp;AA$8&amp;"]","[IF].[ano]","[IF].[ano].&amp;["&amp;AA$7&amp;"]","[IF].[informacion]","[IF].[informacion].&amp;["&amp;AA$9&amp;"]","[IF].[cuenta_ppto]","[IF].[cuenta_ppto].&amp;["&amp;$A60&amp;"]"),0)</f>
        <v>1.8017889999999994</v>
      </c>
      <c r="AB60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valor]",base!$AW$5,"[IF].[mes]","[IF].[mes].&amp;["&amp;AB$8&amp;"]","[IF].[ano]","[IF].[ano].&amp;["&amp;AB$7&amp;"]","[IF].[informacion]","[IF].[informacion].&amp;["&amp;AB$9&amp;"]","[IF].[cuenta_ppto]","[IF].[cuenta_ppto].&amp;["&amp;$A60&amp;"]"),0)</f>
        <v>0</v>
      </c>
      <c r="AC60" s="11">
        <f t="shared" si="169"/>
        <v>1.8017889999999994</v>
      </c>
      <c r="AD60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60&amp;"]"),0)*IF($B$2="Real",1,IF(AD$8&lt;6,6/AD$8,1)))*(1+S58)</f>
        <v>0</v>
      </c>
      <c r="AE60" s="116">
        <v>0</v>
      </c>
      <c r="AF60" s="11">
        <f t="shared" si="116"/>
        <v>1.8017889999999994</v>
      </c>
      <c r="AG60" s="116">
        <v>0</v>
      </c>
      <c r="AH60" s="11">
        <v>4</v>
      </c>
      <c r="AI60" s="116">
        <v>0</v>
      </c>
      <c r="AJ60" s="11">
        <f t="shared" si="180"/>
        <v>4</v>
      </c>
      <c r="AK60" s="116">
        <v>0</v>
      </c>
      <c r="AL60" s="11"/>
      <c r="AM60" s="11">
        <f>IFERROR(GETPIVOTDATA("[Measures].[Suma de valor]",base!$K$3,"[IF].[departamento_jerarquia2]","[IF].[departamento_jerarquia2].&amp;["&amp;AM$5&amp;"]","[IF].[mes]","[IF].[mes].&amp;["&amp;AM$8&amp;"]","[IF].[ano]","[IF].[ano].&amp;["&amp;AM$7&amp;"]","[IF].[informacion]","[IF].[informacion].&amp;["&amp;AM$9&amp;"]","[IF].[cuenta_ppto]","[IF].[cuenta_ppto].&amp;["&amp;$A60&amp;"]"),0)-BK60</f>
        <v>0</v>
      </c>
      <c r="AN60" s="11">
        <f>IFERROR(GETPIVOTDATA("[Measures].[Suma de valor]",base!$K$3,"[IF].[departamento_jerarquia2]","[IF].[departamento_jerarquia2].&amp;["&amp;AN$5&amp;"]","[IF].[mes]","[IF].[mes].&amp;["&amp;AN$8&amp;"]","[IF].[ano]","[IF].[ano].&amp;["&amp;AN$7&amp;"]","[IF].[informacion]","[IF].[informacion].&amp;["&amp;AN$9&amp;"]","[IF].[cuenta_ppto]","[IF].[cuenta_ppto].&amp;["&amp;$A60&amp;"]"),0)-BL60</f>
        <v>0</v>
      </c>
      <c r="AO60" s="11">
        <f t="shared" si="170"/>
        <v>0</v>
      </c>
      <c r="AP60" s="3">
        <v>0</v>
      </c>
      <c r="AQ60" s="116">
        <v>0</v>
      </c>
      <c r="AR60" s="11">
        <f t="shared" si="118"/>
        <v>0</v>
      </c>
      <c r="AS60" s="116">
        <v>0</v>
      </c>
      <c r="AT60" s="11">
        <f t="shared" si="119"/>
        <v>0</v>
      </c>
      <c r="AU60" s="116">
        <v>0</v>
      </c>
      <c r="AV60" s="11">
        <f t="shared" si="171"/>
        <v>0</v>
      </c>
      <c r="AW60" s="116">
        <v>0</v>
      </c>
      <c r="AX60" s="11"/>
      <c r="AY60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60&amp;"]"),0)</f>
        <v>0</v>
      </c>
      <c r="AZ60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60&amp;"]"),0)</f>
        <v>0</v>
      </c>
      <c r="BA60" s="11">
        <f t="shared" si="172"/>
        <v>0</v>
      </c>
      <c r="BB60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INTERNOS]"),0)*IF($B$2="Real",1,IF(BB$8&lt;6,6/BB$8,1)))*(1+BC60)</f>
        <v>0</v>
      </c>
      <c r="BC60" s="116">
        <v>0</v>
      </c>
      <c r="BD60" s="11">
        <f t="shared" si="122"/>
        <v>0</v>
      </c>
      <c r="BE60" s="116">
        <v>0</v>
      </c>
      <c r="BF60" s="11">
        <f t="shared" si="123"/>
        <v>0</v>
      </c>
      <c r="BG60" s="116">
        <v>0</v>
      </c>
      <c r="BH60" s="11">
        <f t="shared" si="173"/>
        <v>0</v>
      </c>
      <c r="BI60" s="116">
        <v>0</v>
      </c>
      <c r="BJ60" s="11"/>
      <c r="BK60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60&amp;"]"),0)</f>
        <v>0</v>
      </c>
      <c r="BL60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60&amp;"]"),0)</f>
        <v>0</v>
      </c>
      <c r="BM60" s="11">
        <f t="shared" si="174"/>
        <v>0</v>
      </c>
      <c r="BN60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60&amp;"]"),0)*IF($B$2="Real",1,IF(BN$8&lt;6,6/BN$8,1)))*(1+BO60)</f>
        <v>0</v>
      </c>
      <c r="BO60" s="116">
        <v>0</v>
      </c>
      <c r="BP60" s="11">
        <f t="shared" si="126"/>
        <v>0</v>
      </c>
      <c r="BQ60" s="116">
        <v>0</v>
      </c>
      <c r="BR60" s="11">
        <f t="shared" si="127"/>
        <v>0</v>
      </c>
      <c r="BS60" s="116">
        <v>0</v>
      </c>
      <c r="BT60" s="11">
        <f t="shared" si="175"/>
        <v>0</v>
      </c>
      <c r="BU60" s="116">
        <v>0</v>
      </c>
      <c r="BV60" s="11"/>
      <c r="BW60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60&amp;"]"),0)</f>
        <v>0</v>
      </c>
      <c r="BX60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60&amp;"]"),0)</f>
        <v>0</v>
      </c>
      <c r="BY60" s="11">
        <f t="shared" si="176"/>
        <v>0</v>
      </c>
      <c r="BZ60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60&amp;"]"),0)*IF($B$2="Real",1,IF(BZ$8&lt;6,6/BZ$8,1)))*(1+CA60)</f>
        <v>0</v>
      </c>
      <c r="CA60" s="116">
        <v>0</v>
      </c>
      <c r="CB60" s="11">
        <f t="shared" si="130"/>
        <v>0</v>
      </c>
      <c r="CC60" s="116">
        <v>0</v>
      </c>
      <c r="CD60" s="11">
        <f t="shared" si="154"/>
        <v>0</v>
      </c>
      <c r="CE60" s="116">
        <v>0</v>
      </c>
      <c r="CF60" s="11">
        <f t="shared" si="177"/>
        <v>0</v>
      </c>
      <c r="CG60" s="116">
        <v>0</v>
      </c>
      <c r="CH60" s="11"/>
      <c r="CI60" s="11"/>
      <c r="CJ60" s="11"/>
      <c r="CK60" s="11"/>
      <c r="CL60" s="11"/>
      <c r="CM60" s="116"/>
      <c r="CN60" s="11"/>
      <c r="CO60" s="116"/>
      <c r="CP60" s="11"/>
      <c r="CQ60" s="116"/>
      <c r="CR60" s="11"/>
      <c r="CS60" s="116"/>
      <c r="CT60" s="11"/>
      <c r="CU60" s="11"/>
      <c r="CV60" s="11"/>
      <c r="CW60" s="11"/>
      <c r="CX60" s="11"/>
      <c r="CY60" s="116"/>
      <c r="CZ60" s="11"/>
      <c r="DA60" s="116"/>
      <c r="DB60" s="11"/>
      <c r="DC60" s="116"/>
      <c r="DD60" s="11"/>
      <c r="DE60" s="116"/>
      <c r="DF60" s="11"/>
      <c r="DG60" s="9">
        <f t="shared" si="178"/>
        <v>4.4043699999999992</v>
      </c>
      <c r="DH60" s="3">
        <f t="shared" si="179"/>
        <v>4</v>
      </c>
      <c r="DI60" s="119">
        <f t="shared" si="181"/>
        <v>4</v>
      </c>
      <c r="DK60" s="11">
        <f t="shared" si="182"/>
        <v>4.4043699999999992</v>
      </c>
      <c r="DL60" s="11">
        <f t="shared" si="182"/>
        <v>4</v>
      </c>
      <c r="DM60" s="11">
        <f t="shared" si="182"/>
        <v>4</v>
      </c>
    </row>
    <row r="61" spans="1:117" outlineLevel="1" x14ac:dyDescent="0.25">
      <c r="A61" t="s">
        <v>158</v>
      </c>
      <c r="B61" t="s">
        <v>193</v>
      </c>
      <c r="C61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61&amp;"]"),0)</f>
        <v>0</v>
      </c>
      <c r="D61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61&amp;"]"),0)</f>
        <v>0</v>
      </c>
      <c r="E61" s="11">
        <f t="shared" si="165"/>
        <v>0</v>
      </c>
      <c r="F61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61&amp;"]"),0)*IF($B$2="Real",1,IF(F$8&lt;6,6/F$8,1)))*(1+G61)</f>
        <v>0</v>
      </c>
      <c r="G61" s="116">
        <v>0</v>
      </c>
      <c r="H61" s="11">
        <f t="shared" si="110"/>
        <v>0</v>
      </c>
      <c r="I61" s="116">
        <v>0</v>
      </c>
      <c r="J61" s="11">
        <f t="shared" si="111"/>
        <v>0</v>
      </c>
      <c r="K61" s="116">
        <v>0</v>
      </c>
      <c r="L61" s="11">
        <f t="shared" si="166"/>
        <v>0</v>
      </c>
      <c r="M61" s="116">
        <v>0</v>
      </c>
      <c r="N61" s="11"/>
      <c r="O61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61&amp;"]"),0)-AA61</f>
        <v>0.38799600000000001</v>
      </c>
      <c r="P61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61&amp;"]"),0)-AB61</f>
        <v>0.38799600000000001</v>
      </c>
      <c r="Q61" s="11">
        <f t="shared" si="167"/>
        <v>0</v>
      </c>
      <c r="R61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61&amp;"]"),0)*IF($B$2="Real",1,IF(R$8&lt;6,6/R$8,1))-AD61)*(1+S61)</f>
        <v>0</v>
      </c>
      <c r="S61" s="116">
        <v>0</v>
      </c>
      <c r="T61" s="11">
        <f t="shared" si="114"/>
        <v>0</v>
      </c>
      <c r="U61" s="116">
        <v>0</v>
      </c>
      <c r="V61" s="11">
        <f t="shared" si="140"/>
        <v>0</v>
      </c>
      <c r="W61" s="116">
        <v>0</v>
      </c>
      <c r="X61" s="11">
        <f t="shared" si="168"/>
        <v>0</v>
      </c>
      <c r="Y61" s="116">
        <v>0</v>
      </c>
      <c r="Z61" s="11"/>
      <c r="AA61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valor]",base!$AW$5,"[IF].[mes]","[IF].[mes].&amp;["&amp;AA$8&amp;"]","[IF].[ano]","[IF].[ano].&amp;["&amp;AA$7&amp;"]","[IF].[informacion]","[IF].[informacion].&amp;["&amp;AA$9&amp;"]","[IF].[cuenta_ppto]","[IF].[cuenta_ppto].&amp;["&amp;$A61&amp;"]"),0)</f>
        <v>0.36</v>
      </c>
      <c r="AB61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valor]",base!$AW$5,"[IF].[mes]","[IF].[mes].&amp;["&amp;AB$8&amp;"]","[IF].[ano]","[IF].[ano].&amp;["&amp;AB$7&amp;"]","[IF].[informacion]","[IF].[informacion].&amp;["&amp;AB$9&amp;"]","[IF].[cuenta_ppto]","[IF].[cuenta_ppto].&amp;["&amp;$A61&amp;"]"),0)</f>
        <v>0</v>
      </c>
      <c r="AC61" s="11">
        <f t="shared" si="169"/>
        <v>0.36</v>
      </c>
      <c r="AD61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61&amp;"]"),0)*IF($B$2="Real",1,IF(AD$8&lt;6,6/AD$8,1)))*(1+S59)</f>
        <v>0</v>
      </c>
      <c r="AE61" s="116">
        <v>0</v>
      </c>
      <c r="AF61" s="11">
        <f t="shared" si="116"/>
        <v>0.36</v>
      </c>
      <c r="AG61" s="116">
        <v>0</v>
      </c>
      <c r="AH61" s="11">
        <f t="shared" si="144"/>
        <v>0.36</v>
      </c>
      <c r="AI61" s="116">
        <v>0</v>
      </c>
      <c r="AJ61" s="11">
        <f t="shared" si="180"/>
        <v>0.36</v>
      </c>
      <c r="AK61" s="116">
        <v>0</v>
      </c>
      <c r="AL61" s="11"/>
      <c r="AM61" s="11">
        <f>IFERROR(GETPIVOTDATA("[Measures].[Suma de valor]",base!$K$3,"[IF].[departamento_jerarquia2]","[IF].[departamento_jerarquia2].&amp;["&amp;AM$5&amp;"]","[IF].[mes]","[IF].[mes].&amp;["&amp;AM$8&amp;"]","[IF].[ano]","[IF].[ano].&amp;["&amp;AM$7&amp;"]","[IF].[informacion]","[IF].[informacion].&amp;["&amp;AM$9&amp;"]","[IF].[cuenta_ppto]","[IF].[cuenta_ppto].&amp;["&amp;$A61&amp;"]"),0)-BK61</f>
        <v>0</v>
      </c>
      <c r="AN61" s="11">
        <f>IFERROR(GETPIVOTDATA("[Measures].[Suma de valor]",base!$K$3,"[IF].[departamento_jerarquia2]","[IF].[departamento_jerarquia2].&amp;["&amp;AN$5&amp;"]","[IF].[mes]","[IF].[mes].&amp;["&amp;AN$8&amp;"]","[IF].[ano]","[IF].[ano].&amp;["&amp;AN$7&amp;"]","[IF].[informacion]","[IF].[informacion].&amp;["&amp;AN$9&amp;"]","[IF].[cuenta_ppto]","[IF].[cuenta_ppto].&amp;["&amp;$A61&amp;"]"),0)-BL61</f>
        <v>0</v>
      </c>
      <c r="AO61" s="11">
        <f t="shared" si="170"/>
        <v>0</v>
      </c>
      <c r="AP61" s="3">
        <v>0</v>
      </c>
      <c r="AQ61" s="116">
        <v>0</v>
      </c>
      <c r="AR61" s="11">
        <f t="shared" si="118"/>
        <v>0</v>
      </c>
      <c r="AS61" s="116">
        <v>0</v>
      </c>
      <c r="AT61" s="11">
        <f t="shared" si="119"/>
        <v>0</v>
      </c>
      <c r="AU61" s="116">
        <v>0</v>
      </c>
      <c r="AV61" s="11">
        <f t="shared" si="171"/>
        <v>0</v>
      </c>
      <c r="AW61" s="116">
        <v>0</v>
      </c>
      <c r="AX61" s="11"/>
      <c r="AY61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61&amp;"]"),0)</f>
        <v>0</v>
      </c>
      <c r="AZ61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61&amp;"]"),0)</f>
        <v>0</v>
      </c>
      <c r="BA61" s="11">
        <f t="shared" si="172"/>
        <v>0</v>
      </c>
      <c r="BB61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INTERNOS]"),0)*IF($B$2="Real",1,IF(BB$8&lt;6,6/BB$8,1)))*(1+BC61)</f>
        <v>0</v>
      </c>
      <c r="BC61" s="116">
        <v>0</v>
      </c>
      <c r="BD61" s="11">
        <f t="shared" si="122"/>
        <v>0</v>
      </c>
      <c r="BE61" s="116">
        <v>0</v>
      </c>
      <c r="BF61" s="11">
        <f t="shared" si="123"/>
        <v>0</v>
      </c>
      <c r="BG61" s="116">
        <v>0</v>
      </c>
      <c r="BH61" s="11">
        <f t="shared" si="173"/>
        <v>0</v>
      </c>
      <c r="BI61" s="116">
        <v>0</v>
      </c>
      <c r="BJ61" s="11"/>
      <c r="BK61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61&amp;"]"),0)</f>
        <v>0</v>
      </c>
      <c r="BL61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61&amp;"]"),0)</f>
        <v>0</v>
      </c>
      <c r="BM61" s="11">
        <f t="shared" si="174"/>
        <v>0</v>
      </c>
      <c r="BN61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61&amp;"]"),0)*IF($B$2="Real",1,IF(BN$8&lt;6,6/BN$8,1)))*(1+BO61)</f>
        <v>0</v>
      </c>
      <c r="BO61" s="116">
        <v>0</v>
      </c>
      <c r="BP61" s="11">
        <f t="shared" si="126"/>
        <v>0</v>
      </c>
      <c r="BQ61" s="116">
        <v>0</v>
      </c>
      <c r="BR61" s="11">
        <f t="shared" si="127"/>
        <v>0</v>
      </c>
      <c r="BS61" s="116">
        <v>0</v>
      </c>
      <c r="BT61" s="11">
        <f t="shared" si="175"/>
        <v>0</v>
      </c>
      <c r="BU61" s="116">
        <v>0</v>
      </c>
      <c r="BV61" s="11"/>
      <c r="BW61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61&amp;"]"),0)</f>
        <v>0</v>
      </c>
      <c r="BX61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61&amp;"]"),0)</f>
        <v>0</v>
      </c>
      <c r="BY61" s="11">
        <f t="shared" si="176"/>
        <v>0</v>
      </c>
      <c r="BZ61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61&amp;"]"),0)*IF($B$2="Real",1,IF(BZ$8&lt;6,6/BZ$8,1)))*(1+CA61)</f>
        <v>0</v>
      </c>
      <c r="CA61" s="116">
        <v>0</v>
      </c>
      <c r="CB61" s="11">
        <f t="shared" si="130"/>
        <v>0</v>
      </c>
      <c r="CC61" s="116">
        <v>0</v>
      </c>
      <c r="CD61" s="11">
        <f t="shared" si="154"/>
        <v>0</v>
      </c>
      <c r="CE61" s="116">
        <v>0</v>
      </c>
      <c r="CF61" s="11">
        <f t="shared" si="177"/>
        <v>0</v>
      </c>
      <c r="CG61" s="116">
        <v>0</v>
      </c>
      <c r="CH61" s="11"/>
      <c r="CI61" s="11"/>
      <c r="CJ61" s="11"/>
      <c r="CK61" s="11"/>
      <c r="CL61" s="11"/>
      <c r="CM61" s="116"/>
      <c r="CN61" s="11"/>
      <c r="CO61" s="116"/>
      <c r="CP61" s="11"/>
      <c r="CQ61" s="116"/>
      <c r="CR61" s="11"/>
      <c r="CS61" s="116"/>
      <c r="CT61" s="11"/>
      <c r="CU61" s="11"/>
      <c r="CV61" s="11"/>
      <c r="CW61" s="11"/>
      <c r="CX61" s="11"/>
      <c r="CY61" s="116"/>
      <c r="CZ61" s="11"/>
      <c r="DA61" s="116"/>
      <c r="DB61" s="11"/>
      <c r="DC61" s="116"/>
      <c r="DD61" s="11"/>
      <c r="DE61" s="116"/>
      <c r="DF61" s="11"/>
      <c r="DG61" s="9">
        <f t="shared" si="178"/>
        <v>0.74799599999999999</v>
      </c>
      <c r="DH61" s="3">
        <f t="shared" si="179"/>
        <v>0.36</v>
      </c>
      <c r="DI61" s="119">
        <f t="shared" si="181"/>
        <v>0.36</v>
      </c>
      <c r="DK61" s="11">
        <f t="shared" si="182"/>
        <v>0.74799599999999999</v>
      </c>
      <c r="DL61" s="11">
        <f t="shared" si="182"/>
        <v>0.36</v>
      </c>
      <c r="DM61" s="11">
        <f t="shared" si="182"/>
        <v>0.36</v>
      </c>
    </row>
    <row r="62" spans="1:117" outlineLevel="1" x14ac:dyDescent="0.25">
      <c r="A62" t="s">
        <v>159</v>
      </c>
      <c r="B62" t="s">
        <v>194</v>
      </c>
      <c r="C62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62&amp;"]"),0)</f>
        <v>0</v>
      </c>
      <c r="D62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62&amp;"]"),0)</f>
        <v>0</v>
      </c>
      <c r="E62" s="11">
        <f t="shared" si="165"/>
        <v>0</v>
      </c>
      <c r="F62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62&amp;"]"),0)*IF($B$2="Real",1,IF(F$8&lt;6,6/F$8,1)))*(1+G62)</f>
        <v>0</v>
      </c>
      <c r="G62" s="116">
        <v>0</v>
      </c>
      <c r="H62" s="11">
        <f t="shared" si="110"/>
        <v>0</v>
      </c>
      <c r="I62" s="116">
        <v>0</v>
      </c>
      <c r="J62" s="11">
        <f t="shared" ref="J62:J63" si="183">F62+H62</f>
        <v>0</v>
      </c>
      <c r="K62" s="116">
        <v>0</v>
      </c>
      <c r="L62" s="11">
        <f t="shared" si="166"/>
        <v>0</v>
      </c>
      <c r="M62" s="116">
        <v>0</v>
      </c>
      <c r="N62" s="11"/>
      <c r="O62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62&amp;"]"),0)-AA62</f>
        <v>14.5</v>
      </c>
      <c r="P62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62&amp;"]"),0)-AB62</f>
        <v>7.25</v>
      </c>
      <c r="Q62" s="11">
        <f t="shared" si="167"/>
        <v>7.25</v>
      </c>
      <c r="R62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62&amp;"]"),0)*IF($B$2="Real",1,IF(R$8&lt;6,6/R$8,1))-AD62)*(1+S62)</f>
        <v>1.7197068</v>
      </c>
      <c r="S62" s="116">
        <v>0</v>
      </c>
      <c r="T62" s="11">
        <f t="shared" si="114"/>
        <v>7.25</v>
      </c>
      <c r="U62" s="116">
        <v>0</v>
      </c>
      <c r="V62" s="11">
        <f t="shared" si="140"/>
        <v>8.9697068000000009</v>
      </c>
      <c r="W62" s="116">
        <v>0</v>
      </c>
      <c r="X62" s="11">
        <f t="shared" si="168"/>
        <v>8.9697068000000009</v>
      </c>
      <c r="Y62" s="116">
        <v>0</v>
      </c>
      <c r="Z62" s="11"/>
      <c r="AA62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valor]",base!$AW$5,"[IF].[mes]","[IF].[mes].&amp;["&amp;AA$8&amp;"]","[IF].[ano]","[IF].[ano].&amp;["&amp;AA$7&amp;"]","[IF].[informacion]","[IF].[informacion].&amp;["&amp;AA$9&amp;"]","[IF].[cuenta_ppto]","[IF].[cuenta_ppto].&amp;["&amp;$A62&amp;"]"),0)</f>
        <v>17</v>
      </c>
      <c r="AB62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valor]",base!$AW$5,"[IF].[mes]","[IF].[mes].&amp;["&amp;AB$8&amp;"]","[IF].[ano]","[IF].[ano].&amp;["&amp;AB$7&amp;"]","[IF].[informacion]","[IF].[informacion].&amp;["&amp;AB$9&amp;"]","[IF].[cuenta_ppto]","[IF].[cuenta_ppto].&amp;["&amp;$A62&amp;"]"),0)</f>
        <v>8.5</v>
      </c>
      <c r="AC62" s="11">
        <f t="shared" si="169"/>
        <v>8.5</v>
      </c>
      <c r="AD62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62&amp;"]"),0)*IF($B$2="Real",1,IF(AD$8&lt;6,6/AD$8,1)))*(1+S60)</f>
        <v>3.2831783999999997</v>
      </c>
      <c r="AE62" s="116">
        <v>0</v>
      </c>
      <c r="AF62" s="11">
        <f t="shared" si="116"/>
        <v>8.5</v>
      </c>
      <c r="AG62" s="116">
        <v>0</v>
      </c>
      <c r="AH62" s="11">
        <f t="shared" si="144"/>
        <v>11.783178400000001</v>
      </c>
      <c r="AI62" s="116">
        <v>0</v>
      </c>
      <c r="AJ62" s="11">
        <f t="shared" si="180"/>
        <v>11.783178400000001</v>
      </c>
      <c r="AK62" s="116">
        <v>0</v>
      </c>
      <c r="AL62" s="11"/>
      <c r="AM62" s="11">
        <f>IFERROR(GETPIVOTDATA("[Measures].[Suma de valor]",base!$K$3,"[IF].[departamento_jerarquia2]","[IF].[departamento_jerarquia2].&amp;["&amp;AM$5&amp;"]","[IF].[mes]","[IF].[mes].&amp;["&amp;AM$8&amp;"]","[IF].[ano]","[IF].[ano].&amp;["&amp;AM$7&amp;"]","[IF].[informacion]","[IF].[informacion].&amp;["&amp;AM$9&amp;"]","[IF].[cuenta_ppto]","[IF].[cuenta_ppto].&amp;["&amp;$A62&amp;"]"),0)-BK62</f>
        <v>0</v>
      </c>
      <c r="AN62" s="11">
        <f>IFERROR(GETPIVOTDATA("[Measures].[Suma de valor]",base!$K$3,"[IF].[departamento_jerarquia2]","[IF].[departamento_jerarquia2].&amp;["&amp;AN$5&amp;"]","[IF].[mes]","[IF].[mes].&amp;["&amp;AN$8&amp;"]","[IF].[ano]","[IF].[ano].&amp;["&amp;AN$7&amp;"]","[IF].[informacion]","[IF].[informacion].&amp;["&amp;AN$9&amp;"]","[IF].[cuenta_ppto]","[IF].[cuenta_ppto].&amp;["&amp;$A62&amp;"]"),0)-BL62</f>
        <v>0</v>
      </c>
      <c r="AO62" s="11">
        <f t="shared" si="170"/>
        <v>0</v>
      </c>
      <c r="AP62" s="3">
        <v>0</v>
      </c>
      <c r="AQ62" s="116">
        <v>0</v>
      </c>
      <c r="AR62" s="11">
        <f t="shared" si="118"/>
        <v>0</v>
      </c>
      <c r="AS62" s="116">
        <v>0</v>
      </c>
      <c r="AT62" s="11">
        <f t="shared" si="119"/>
        <v>0</v>
      </c>
      <c r="AU62" s="116">
        <v>0</v>
      </c>
      <c r="AV62" s="11">
        <f t="shared" si="171"/>
        <v>0</v>
      </c>
      <c r="AW62" s="116">
        <v>0</v>
      </c>
      <c r="AX62" s="11"/>
      <c r="AY62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62&amp;"]"),0)</f>
        <v>0</v>
      </c>
      <c r="AZ62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62&amp;"]"),0)</f>
        <v>0</v>
      </c>
      <c r="BA62" s="11">
        <f t="shared" si="172"/>
        <v>0</v>
      </c>
      <c r="BB62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INTERNOS]"),0)*IF($B$2="Real",1,IF(BB$8&lt;6,6/BB$8,1)))*(1+BC62)</f>
        <v>0</v>
      </c>
      <c r="BC62" s="116">
        <v>0</v>
      </c>
      <c r="BD62" s="11">
        <f t="shared" si="122"/>
        <v>0</v>
      </c>
      <c r="BE62" s="116">
        <v>0</v>
      </c>
      <c r="BF62" s="11">
        <f t="shared" si="123"/>
        <v>0</v>
      </c>
      <c r="BG62" s="116">
        <v>0</v>
      </c>
      <c r="BH62" s="11">
        <f t="shared" si="173"/>
        <v>0</v>
      </c>
      <c r="BI62" s="116">
        <v>0</v>
      </c>
      <c r="BJ62" s="11"/>
      <c r="BK62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62&amp;"]"),0)</f>
        <v>0</v>
      </c>
      <c r="BL62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62&amp;"]"),0)</f>
        <v>0</v>
      </c>
      <c r="BM62" s="11">
        <f t="shared" si="174"/>
        <v>0</v>
      </c>
      <c r="BN62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62&amp;"]"),0)*IF($B$2="Real",1,IF(BN$8&lt;6,6/BN$8,1)))*(1+BO62)</f>
        <v>0</v>
      </c>
      <c r="BO62" s="116">
        <v>0</v>
      </c>
      <c r="BP62" s="11">
        <f t="shared" si="126"/>
        <v>0</v>
      </c>
      <c r="BQ62" s="116">
        <v>0</v>
      </c>
      <c r="BR62" s="11">
        <f t="shared" si="127"/>
        <v>0</v>
      </c>
      <c r="BS62" s="116">
        <v>0</v>
      </c>
      <c r="BT62" s="11">
        <f t="shared" si="175"/>
        <v>0</v>
      </c>
      <c r="BU62" s="116">
        <v>0</v>
      </c>
      <c r="BV62" s="11"/>
      <c r="BW62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62&amp;"]"),0)</f>
        <v>0</v>
      </c>
      <c r="BX62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62&amp;"]"),0)</f>
        <v>0</v>
      </c>
      <c r="BY62" s="11">
        <f t="shared" si="176"/>
        <v>0</v>
      </c>
      <c r="BZ62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62&amp;"]"),0)*IF($B$2="Real",1,IF(BZ$8&lt;6,6/BZ$8,1)))*(1+CA62)</f>
        <v>0</v>
      </c>
      <c r="CA62" s="116">
        <v>0</v>
      </c>
      <c r="CB62" s="11">
        <f t="shared" si="130"/>
        <v>0</v>
      </c>
      <c r="CC62" s="116">
        <v>0</v>
      </c>
      <c r="CD62" s="11">
        <f t="shared" si="154"/>
        <v>0</v>
      </c>
      <c r="CE62" s="116">
        <v>0</v>
      </c>
      <c r="CF62" s="11">
        <f t="shared" si="177"/>
        <v>0</v>
      </c>
      <c r="CG62" s="116">
        <v>0</v>
      </c>
      <c r="CH62" s="11"/>
      <c r="CI62" s="11"/>
      <c r="CJ62" s="11"/>
      <c r="CK62" s="11"/>
      <c r="CL62" s="11"/>
      <c r="CM62" s="116"/>
      <c r="CN62" s="11"/>
      <c r="CO62" s="116"/>
      <c r="CP62" s="11"/>
      <c r="CQ62" s="116"/>
      <c r="CR62" s="11"/>
      <c r="CS62" s="116"/>
      <c r="CT62" s="11"/>
      <c r="CU62" s="11"/>
      <c r="CV62" s="11"/>
      <c r="CW62" s="11"/>
      <c r="CX62" s="11"/>
      <c r="CY62" s="116"/>
      <c r="CZ62" s="11"/>
      <c r="DA62" s="116"/>
      <c r="DB62" s="11"/>
      <c r="DC62" s="116"/>
      <c r="DD62" s="11"/>
      <c r="DE62" s="116"/>
      <c r="DF62" s="11"/>
      <c r="DG62" s="9">
        <f t="shared" si="178"/>
        <v>31.5</v>
      </c>
      <c r="DH62" s="3">
        <f t="shared" si="179"/>
        <v>20.752885200000001</v>
      </c>
      <c r="DI62" s="119">
        <f t="shared" si="181"/>
        <v>20.752885200000001</v>
      </c>
      <c r="DK62" s="11">
        <f t="shared" si="182"/>
        <v>31.5</v>
      </c>
      <c r="DL62" s="11">
        <f t="shared" si="182"/>
        <v>20.752885200000001</v>
      </c>
      <c r="DM62" s="11">
        <f t="shared" si="182"/>
        <v>20.752885200000001</v>
      </c>
    </row>
    <row r="63" spans="1:117" outlineLevel="1" x14ac:dyDescent="0.25">
      <c r="A63" t="s">
        <v>160</v>
      </c>
      <c r="B63" t="s">
        <v>195</v>
      </c>
      <c r="C63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63&amp;"]"),0)</f>
        <v>0</v>
      </c>
      <c r="D63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63&amp;"]"),0)</f>
        <v>0</v>
      </c>
      <c r="E63" s="11">
        <f t="shared" si="165"/>
        <v>0</v>
      </c>
      <c r="F63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63&amp;"]"),0)*IF($B$2="Real",1,IF(F$8&lt;6,6/F$8,1)))*(1+G63)</f>
        <v>0</v>
      </c>
      <c r="G63" s="116"/>
      <c r="H63" s="11">
        <f>IFERROR((F63/(F39-F21+F81-F80))*(H39-H21+H81-H80),0)</f>
        <v>0</v>
      </c>
      <c r="I63" s="116">
        <v>0</v>
      </c>
      <c r="J63" s="11">
        <f t="shared" si="183"/>
        <v>0</v>
      </c>
      <c r="K63" s="116">
        <v>0</v>
      </c>
      <c r="L63" s="11">
        <f>(L39-L21+L81-L80)*modelo!$Z$6</f>
        <v>0</v>
      </c>
      <c r="M63" s="116">
        <v>0</v>
      </c>
      <c r="N63" s="11"/>
      <c r="O63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63&amp;"]"),0)-AA63</f>
        <v>5.4643590749999973</v>
      </c>
      <c r="P63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63&amp;"]"),0)-AB63</f>
        <v>0.8633687338499989</v>
      </c>
      <c r="Q63" s="11">
        <f t="shared" si="167"/>
        <v>4.6009903411499984</v>
      </c>
      <c r="R63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63&amp;"]"),0)*IF($B$2="Real",1,IF(R$8&lt;6,6/R$8,1))-AD63)*(1+S63)</f>
        <v>2.1937403999999994</v>
      </c>
      <c r="S63" s="116"/>
      <c r="T63" s="11">
        <f>IFERROR((R63/(R39-R21+R81-R80))*(T39-T21+T81-T80),0)</f>
        <v>1.6705936280244744</v>
      </c>
      <c r="U63" s="116">
        <v>0</v>
      </c>
      <c r="V63" s="11">
        <f t="shared" si="140"/>
        <v>3.8643340280244738</v>
      </c>
      <c r="W63" s="116">
        <v>0</v>
      </c>
      <c r="X63" s="11">
        <f>(X39-X21+X81-X80)*modelo!$Z$6</f>
        <v>6.7080814053342994</v>
      </c>
      <c r="Y63" s="116">
        <v>0</v>
      </c>
      <c r="Z63" s="11"/>
      <c r="AA63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valor]",base!$AW$5,"[IF].[mes]","[IF].[mes].&amp;["&amp;AA$8&amp;"]","[IF].[ano]","[IF].[ano].&amp;["&amp;AA$7&amp;"]","[IF].[informacion]","[IF].[informacion].&amp;["&amp;AA$9&amp;"]","[IF].[cuenta_ppto]","[IF].[cuenta_ppto].&amp;["&amp;$A63&amp;"]"),0)</f>
        <v>47.876091227548997</v>
      </c>
      <c r="AB63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valor]",base!$AW$5,"[IF].[mes]","[IF].[mes].&amp;["&amp;AB$8&amp;"]","[IF].[ano]","[IF].[ano].&amp;["&amp;AB$7&amp;"]","[IF].[informacion]","[IF].[informacion].&amp;["&amp;AB$9&amp;"]","[IF].[cuenta_ppto]","[IF].[cuenta_ppto].&amp;["&amp;$A63&amp;"]"),0)</f>
        <v>24.119974760439185</v>
      </c>
      <c r="AC63" s="11">
        <f t="shared" si="169"/>
        <v>23.756116467109813</v>
      </c>
      <c r="AD63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63&amp;"]"),0)*IF($B$2="Real",1,IF(AD$8&lt;6,6/AD$8,1)))*(1+S61)</f>
        <v>29.312119199999998</v>
      </c>
      <c r="AE63" s="116"/>
      <c r="AF63" s="11">
        <f>IFERROR((AD63/(AD39-AD21+AD81-AD80))*(AF39-AF21+AF81-AF80),0)</f>
        <v>26.475271740450104</v>
      </c>
      <c r="AG63" s="116">
        <v>0</v>
      </c>
      <c r="AH63" s="11">
        <f t="shared" si="144"/>
        <v>55.787390940450102</v>
      </c>
      <c r="AI63" s="116">
        <v>0</v>
      </c>
      <c r="AJ63" s="11">
        <f>(AJ39-AJ21+AJ81-AJ80)*modelo!$Z$6</f>
        <v>58.232845594676384</v>
      </c>
      <c r="AK63" s="116">
        <v>0</v>
      </c>
      <c r="AL63" s="11"/>
      <c r="AM63" s="11">
        <f>IFERROR(GETPIVOTDATA("[Measures].[Suma de valor]",base!$K$3,"[IF].[departamento_jerarquia2]","[IF].[departamento_jerarquia2].&amp;["&amp;AM$5&amp;"]","[IF].[mes]","[IF].[mes].&amp;["&amp;AM$8&amp;"]","[IF].[ano]","[IF].[ano].&amp;["&amp;AM$7&amp;"]","[IF].[informacion]","[IF].[informacion].&amp;["&amp;AM$9&amp;"]","[IF].[cuenta_ppto]","[IF].[cuenta_ppto].&amp;["&amp;$A63&amp;"]"),0)-BK63</f>
        <v>10.675000000000001</v>
      </c>
      <c r="AN63" s="11">
        <f>IFERROR(GETPIVOTDATA("[Measures].[Suma de valor]",base!$K$3,"[IF].[departamento_jerarquia2]","[IF].[departamento_jerarquia2].&amp;["&amp;AN$5&amp;"]","[IF].[mes]","[IF].[mes].&amp;["&amp;AN$8&amp;"]","[IF].[ano]","[IF].[ano].&amp;["&amp;AN$7&amp;"]","[IF].[informacion]","[IF].[informacion].&amp;["&amp;AN$9&amp;"]","[IF].[cuenta_ppto]","[IF].[cuenta_ppto].&amp;["&amp;$A63&amp;"]"),0)-BL63</f>
        <v>4.4750724999999996</v>
      </c>
      <c r="AO63" s="11">
        <f t="shared" si="170"/>
        <v>6.1999275000000011</v>
      </c>
      <c r="AP63" s="3">
        <v>2.3835899999999999</v>
      </c>
      <c r="AQ63" s="116"/>
      <c r="AR63" s="11">
        <f>IFERROR((AP63/(AP39-AP21+AP81-AP80))*(AR39-AR21+AR81-AR80),0)</f>
        <v>10.275999257079807</v>
      </c>
      <c r="AS63" s="116">
        <v>0</v>
      </c>
      <c r="AT63" s="11">
        <f t="shared" si="119"/>
        <v>12.659589257079807</v>
      </c>
      <c r="AU63" s="116">
        <v>0</v>
      </c>
      <c r="AV63" s="11">
        <f>(AV39-AV21+AV81-AV80)*modelo!$Z$6</f>
        <v>8.16995</v>
      </c>
      <c r="AW63" s="116">
        <v>0</v>
      </c>
      <c r="AX63" s="11"/>
      <c r="AY63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63&amp;"]"),0)</f>
        <v>0</v>
      </c>
      <c r="AZ63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63&amp;"]"),0)</f>
        <v>0</v>
      </c>
      <c r="BA63" s="11">
        <f t="shared" si="172"/>
        <v>0</v>
      </c>
      <c r="BB63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INTERNOS]"),0)*IF($B$2="Real",1,IF(BB$8&lt;6,6/BB$8,1)))*(1+BC63)</f>
        <v>0</v>
      </c>
      <c r="BC63" s="116"/>
      <c r="BD63" s="11">
        <f>IFERROR((BB63/(BB39-BB21+BB81-BB80))*(BD39-BD21+BD81-BD80),0)</f>
        <v>0</v>
      </c>
      <c r="BE63" s="116">
        <v>0</v>
      </c>
      <c r="BF63" s="11">
        <f t="shared" si="123"/>
        <v>0</v>
      </c>
      <c r="BG63" s="116">
        <v>0</v>
      </c>
      <c r="BH63" s="11">
        <f>(BH39-BH21+BH81-BH80)*modelo!$Z$6</f>
        <v>0</v>
      </c>
      <c r="BI63" s="116">
        <v>0</v>
      </c>
      <c r="BJ63" s="11"/>
      <c r="BK63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63&amp;"]"),0)</f>
        <v>0</v>
      </c>
      <c r="BL63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63&amp;"]"),0)</f>
        <v>0</v>
      </c>
      <c r="BM63" s="11">
        <f t="shared" si="174"/>
        <v>0</v>
      </c>
      <c r="BN63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63&amp;"]"),0)*IF($B$2="Real",1,IF(BN$8&lt;6,6/BN$8,1)))*(1+BO63)</f>
        <v>0</v>
      </c>
      <c r="BO63" s="116"/>
      <c r="BP63" s="11">
        <f>IFERROR((BN63/(BN39-BN21+BN81-BN80))*(BP39-BP21+BP81-BP80),0)</f>
        <v>0</v>
      </c>
      <c r="BQ63" s="116">
        <v>0</v>
      </c>
      <c r="BR63" s="11">
        <f t="shared" si="127"/>
        <v>0</v>
      </c>
      <c r="BS63" s="116">
        <v>0</v>
      </c>
      <c r="BT63" s="11">
        <f>(BT39-BT21+BT81-BT80)*modelo!$Z$6</f>
        <v>2.9522185274999999</v>
      </c>
      <c r="BU63" s="116">
        <v>0</v>
      </c>
      <c r="BV63" s="11"/>
      <c r="BW63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63&amp;"]"),0)</f>
        <v>60</v>
      </c>
      <c r="BX63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63&amp;"]"),0)</f>
        <v>35</v>
      </c>
      <c r="BY63" s="11">
        <f t="shared" si="176"/>
        <v>25</v>
      </c>
      <c r="BZ63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63&amp;"]"),0)*IF($B$2="Real",1,IF(BZ$8&lt;6,6/BZ$8,1)))*(1+CA63)</f>
        <v>15.026799599999999</v>
      </c>
      <c r="CA63" s="116"/>
      <c r="CB63" s="11">
        <f>IFERROR((BZ63/(BZ39-BZ21+BZ81-BZ80))*(CB39-CB21+CB81-CB80),0)</f>
        <v>45.442510697637914</v>
      </c>
      <c r="CC63" s="116">
        <v>0</v>
      </c>
      <c r="CD63" s="11">
        <v>48</v>
      </c>
      <c r="CE63" s="116">
        <v>0</v>
      </c>
      <c r="CF63" s="11">
        <f>(CF39-CF21+CF81-CF80)*modelo!$Z$6</f>
        <v>67.213625606197297</v>
      </c>
      <c r="CG63" s="116">
        <v>0</v>
      </c>
      <c r="CH63" s="11"/>
      <c r="CI63" s="11"/>
      <c r="CJ63" s="11"/>
      <c r="CK63" s="11"/>
      <c r="CL63" s="11"/>
      <c r="CM63" s="116"/>
      <c r="CN63" s="11"/>
      <c r="CO63" s="116"/>
      <c r="CP63" s="11"/>
      <c r="CQ63" s="116"/>
      <c r="CR63" s="11"/>
      <c r="CS63" s="116"/>
      <c r="CT63" s="11"/>
      <c r="CU63" s="11"/>
      <c r="CV63" s="11"/>
      <c r="CW63" s="11"/>
      <c r="CX63" s="11"/>
      <c r="CY63" s="116"/>
      <c r="CZ63" s="11"/>
      <c r="DA63" s="116"/>
      <c r="DB63" s="11"/>
      <c r="DC63" s="116"/>
      <c r="DD63" s="11"/>
      <c r="DE63" s="116"/>
      <c r="DF63" s="11"/>
      <c r="DG63" s="9">
        <f t="shared" si="178"/>
        <v>124.015450302549</v>
      </c>
      <c r="DH63" s="3">
        <f t="shared" si="179"/>
        <v>120.31131422555438</v>
      </c>
      <c r="DI63" s="119">
        <f t="shared" si="181"/>
        <v>143.27672113370798</v>
      </c>
      <c r="DK63" s="11">
        <f t="shared" si="182"/>
        <v>124.015450302549</v>
      </c>
      <c r="DL63" s="11">
        <f t="shared" si="182"/>
        <v>120.31131422555438</v>
      </c>
      <c r="DM63" s="11">
        <f t="shared" si="182"/>
        <v>143.27672113370798</v>
      </c>
    </row>
    <row r="64" spans="1:117" outlineLevel="1" x14ac:dyDescent="0.25">
      <c r="A64" t="s">
        <v>161</v>
      </c>
      <c r="B64" t="s">
        <v>196</v>
      </c>
      <c r="C64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64&amp;"]"),0)</f>
        <v>0</v>
      </c>
      <c r="D64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64&amp;"]"),0)</f>
        <v>0</v>
      </c>
      <c r="E64" s="11">
        <f t="shared" si="165"/>
        <v>0</v>
      </c>
      <c r="F64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64&amp;"]"),0)*IF($B$2="Real",1,IF(F$8&lt;6,6/F$8,1)))*(1+G64)</f>
        <v>0</v>
      </c>
      <c r="G64" s="116">
        <v>0</v>
      </c>
      <c r="H64" s="11">
        <f t="shared" si="110"/>
        <v>0</v>
      </c>
      <c r="I64" s="116">
        <v>0</v>
      </c>
      <c r="J64" s="11">
        <f t="shared" si="111"/>
        <v>0</v>
      </c>
      <c r="K64" s="116">
        <v>0</v>
      </c>
      <c r="L64" s="11">
        <f t="shared" si="166"/>
        <v>0</v>
      </c>
      <c r="M64" s="116">
        <v>0</v>
      </c>
      <c r="N64" s="11"/>
      <c r="O64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64&amp;"]"),0)-AA64</f>
        <v>0</v>
      </c>
      <c r="P64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64&amp;"]"),0)-AB64</f>
        <v>0</v>
      </c>
      <c r="Q64" s="11">
        <f t="shared" si="167"/>
        <v>0</v>
      </c>
      <c r="R64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64&amp;"]"),0)*IF($B$2="Real",1,IF(R$8&lt;6,6/R$8,1))-AD64)*(1+S64)</f>
        <v>0</v>
      </c>
      <c r="S64" s="116">
        <v>0</v>
      </c>
      <c r="T64" s="11">
        <f t="shared" si="114"/>
        <v>0</v>
      </c>
      <c r="U64" s="116">
        <v>0</v>
      </c>
      <c r="V64" s="11">
        <f t="shared" si="140"/>
        <v>0</v>
      </c>
      <c r="W64" s="116">
        <v>0</v>
      </c>
      <c r="X64" s="11">
        <f t="shared" si="168"/>
        <v>0</v>
      </c>
      <c r="Y64" s="116">
        <v>0</v>
      </c>
      <c r="Z64" s="11"/>
      <c r="AA64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valor]",base!$AW$5,"[IF].[mes]","[IF].[mes].&amp;["&amp;AA$8&amp;"]","[IF].[ano]","[IF].[ano].&amp;["&amp;AA$7&amp;"]","[IF].[informacion]","[IF].[informacion].&amp;["&amp;AA$9&amp;"]","[IF].[cuenta_ppto]","[IF].[cuenta_ppto].&amp;["&amp;$A64&amp;"]"),0)</f>
        <v>0</v>
      </c>
      <c r="AB64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valor]",base!$AW$5,"[IF].[mes]","[IF].[mes].&amp;["&amp;AB$8&amp;"]","[IF].[ano]","[IF].[ano].&amp;["&amp;AB$7&amp;"]","[IF].[informacion]","[IF].[informacion].&amp;["&amp;AB$9&amp;"]","[IF].[cuenta_ppto]","[IF].[cuenta_ppto].&amp;["&amp;$A64&amp;"]"),0)</f>
        <v>0</v>
      </c>
      <c r="AC64" s="11">
        <f t="shared" si="169"/>
        <v>0</v>
      </c>
      <c r="AD64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64&amp;"]"),0)*IF($B$2="Real",1,IF(AD$8&lt;6,6/AD$8,1)))*(1+S62)</f>
        <v>0</v>
      </c>
      <c r="AE64" s="116">
        <v>0</v>
      </c>
      <c r="AF64" s="11">
        <f t="shared" si="116"/>
        <v>0</v>
      </c>
      <c r="AG64" s="116">
        <v>0</v>
      </c>
      <c r="AH64" s="11">
        <f t="shared" si="144"/>
        <v>0</v>
      </c>
      <c r="AI64" s="116">
        <v>0</v>
      </c>
      <c r="AJ64" s="11">
        <f t="shared" si="180"/>
        <v>0</v>
      </c>
      <c r="AK64" s="116">
        <v>0</v>
      </c>
      <c r="AL64" s="11"/>
      <c r="AM64" s="11">
        <f>IFERROR(GETPIVOTDATA("[Measures].[Suma de valor]",base!$K$3,"[IF].[departamento_jerarquia2]","[IF].[departamento_jerarquia2].&amp;["&amp;AM$5&amp;"]","[IF].[mes]","[IF].[mes].&amp;["&amp;AM$8&amp;"]","[IF].[ano]","[IF].[ano].&amp;["&amp;AM$7&amp;"]","[IF].[informacion]","[IF].[informacion].&amp;["&amp;AM$9&amp;"]","[IF].[cuenta_ppto]","[IF].[cuenta_ppto].&amp;["&amp;$A64&amp;"]"),0)-BK64</f>
        <v>0</v>
      </c>
      <c r="AN64" s="11">
        <f>IFERROR(GETPIVOTDATA("[Measures].[Suma de valor]",base!$K$3,"[IF].[departamento_jerarquia2]","[IF].[departamento_jerarquia2].&amp;["&amp;AN$5&amp;"]","[IF].[mes]","[IF].[mes].&amp;["&amp;AN$8&amp;"]","[IF].[ano]","[IF].[ano].&amp;["&amp;AN$7&amp;"]","[IF].[informacion]","[IF].[informacion].&amp;["&amp;AN$9&amp;"]","[IF].[cuenta_ppto]","[IF].[cuenta_ppto].&amp;["&amp;$A64&amp;"]"),0)-BL64</f>
        <v>0</v>
      </c>
      <c r="AO64" s="11">
        <f t="shared" si="170"/>
        <v>0</v>
      </c>
      <c r="AP64" s="3">
        <v>0</v>
      </c>
      <c r="AQ64" s="116">
        <v>0</v>
      </c>
      <c r="AR64" s="11">
        <f t="shared" si="118"/>
        <v>0</v>
      </c>
      <c r="AS64" s="116">
        <v>0</v>
      </c>
      <c r="AT64" s="11">
        <f t="shared" si="119"/>
        <v>0</v>
      </c>
      <c r="AU64" s="116">
        <v>0</v>
      </c>
      <c r="AV64" s="11">
        <f t="shared" si="171"/>
        <v>0</v>
      </c>
      <c r="AW64" s="116">
        <v>0</v>
      </c>
      <c r="AX64" s="11"/>
      <c r="AY64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64&amp;"]"),0)</f>
        <v>0</v>
      </c>
      <c r="AZ64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64&amp;"]"),0)</f>
        <v>0</v>
      </c>
      <c r="BA64" s="11">
        <f t="shared" si="172"/>
        <v>0</v>
      </c>
      <c r="BB64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INTERNOS]"),0)*IF($B$2="Real",1,IF(BB$8&lt;6,6/BB$8,1)))*(1+BC64)</f>
        <v>0</v>
      </c>
      <c r="BC64" s="116">
        <v>0</v>
      </c>
      <c r="BD64" s="11">
        <f t="shared" si="122"/>
        <v>0</v>
      </c>
      <c r="BE64" s="116">
        <v>0</v>
      </c>
      <c r="BF64" s="11">
        <f t="shared" si="123"/>
        <v>0</v>
      </c>
      <c r="BG64" s="116">
        <v>0</v>
      </c>
      <c r="BH64" s="11">
        <f t="shared" si="173"/>
        <v>0</v>
      </c>
      <c r="BI64" s="116">
        <v>0</v>
      </c>
      <c r="BJ64" s="11"/>
      <c r="BK64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64&amp;"]"),0)</f>
        <v>0</v>
      </c>
      <c r="BL64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64&amp;"]"),0)</f>
        <v>0</v>
      </c>
      <c r="BM64" s="11">
        <f t="shared" si="174"/>
        <v>0</v>
      </c>
      <c r="BN64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64&amp;"]"),0)*IF($B$2="Real",1,IF(BN$8&lt;6,6/BN$8,1)))*(1+BO64)</f>
        <v>0</v>
      </c>
      <c r="BO64" s="116">
        <v>0</v>
      </c>
      <c r="BP64" s="11">
        <f t="shared" si="126"/>
        <v>0</v>
      </c>
      <c r="BQ64" s="116">
        <v>0</v>
      </c>
      <c r="BR64" s="11">
        <f t="shared" si="127"/>
        <v>0</v>
      </c>
      <c r="BS64" s="116">
        <v>0</v>
      </c>
      <c r="BT64" s="11">
        <f t="shared" si="175"/>
        <v>0</v>
      </c>
      <c r="BU64" s="116">
        <v>0</v>
      </c>
      <c r="BV64" s="11"/>
      <c r="BW64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64&amp;"]"),0)</f>
        <v>0</v>
      </c>
      <c r="BX64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64&amp;"]"),0)</f>
        <v>0</v>
      </c>
      <c r="BY64" s="11">
        <f t="shared" si="176"/>
        <v>0</v>
      </c>
      <c r="BZ64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64&amp;"]"),0)*IF($B$2="Real",1,IF(BZ$8&lt;6,6/BZ$8,1)))*(1+CA64)</f>
        <v>0</v>
      </c>
      <c r="CA64" s="116">
        <v>0</v>
      </c>
      <c r="CB64" s="11">
        <f t="shared" si="130"/>
        <v>0</v>
      </c>
      <c r="CC64" s="116">
        <v>0</v>
      </c>
      <c r="CD64" s="11">
        <f t="shared" si="154"/>
        <v>0</v>
      </c>
      <c r="CE64" s="116">
        <v>0</v>
      </c>
      <c r="CF64" s="11">
        <f t="shared" si="177"/>
        <v>0</v>
      </c>
      <c r="CG64" s="116">
        <v>0</v>
      </c>
      <c r="CH64" s="11"/>
      <c r="CI64" s="11"/>
      <c r="CJ64" s="11"/>
      <c r="CK64" s="11"/>
      <c r="CL64" s="11"/>
      <c r="CM64" s="116"/>
      <c r="CN64" s="11"/>
      <c r="CO64" s="116"/>
      <c r="CP64" s="11"/>
      <c r="CQ64" s="116"/>
      <c r="CR64" s="11"/>
      <c r="CS64" s="116"/>
      <c r="CT64" s="11"/>
      <c r="CU64" s="11"/>
      <c r="CV64" s="11"/>
      <c r="CW64" s="11"/>
      <c r="CX64" s="11"/>
      <c r="CY64" s="116"/>
      <c r="CZ64" s="11"/>
      <c r="DA64" s="116"/>
      <c r="DB64" s="11"/>
      <c r="DC64" s="116"/>
      <c r="DD64" s="11"/>
      <c r="DE64" s="116"/>
      <c r="DF64" s="11"/>
      <c r="DG64" s="9">
        <f t="shared" si="178"/>
        <v>0</v>
      </c>
      <c r="DH64" s="3">
        <f t="shared" si="179"/>
        <v>0</v>
      </c>
      <c r="DI64" s="119">
        <f t="shared" si="181"/>
        <v>0</v>
      </c>
      <c r="DK64" s="11">
        <f t="shared" si="182"/>
        <v>0</v>
      </c>
      <c r="DL64" s="11">
        <f t="shared" si="182"/>
        <v>0</v>
      </c>
      <c r="DM64" s="11">
        <f t="shared" si="182"/>
        <v>0</v>
      </c>
    </row>
    <row r="65" spans="1:117" outlineLevel="1" x14ac:dyDescent="0.25">
      <c r="A65" t="s">
        <v>162</v>
      </c>
      <c r="B65" t="s">
        <v>197</v>
      </c>
      <c r="C65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65&amp;"]"),0)</f>
        <v>0</v>
      </c>
      <c r="D65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65&amp;"]"),0)</f>
        <v>0</v>
      </c>
      <c r="E65" s="11">
        <f t="shared" si="165"/>
        <v>0</v>
      </c>
      <c r="F65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65&amp;"]"),0)*IF($B$2="Real",1,IF(F$8&lt;6,6/F$8,1)))*(1+G65)</f>
        <v>0</v>
      </c>
      <c r="G65" s="116">
        <v>0</v>
      </c>
      <c r="H65" s="11">
        <f t="shared" si="110"/>
        <v>0</v>
      </c>
      <c r="I65" s="116">
        <v>0</v>
      </c>
      <c r="J65" s="11">
        <f t="shared" si="111"/>
        <v>0</v>
      </c>
      <c r="K65" s="116">
        <v>0</v>
      </c>
      <c r="L65" s="11">
        <f t="shared" si="166"/>
        <v>0</v>
      </c>
      <c r="M65" s="116">
        <v>0</v>
      </c>
      <c r="N65" s="11"/>
      <c r="O65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65&amp;"]"),0)-AA65</f>
        <v>0</v>
      </c>
      <c r="P65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65&amp;"]"),0)-AB65</f>
        <v>0</v>
      </c>
      <c r="Q65" s="11">
        <f t="shared" si="167"/>
        <v>0</v>
      </c>
      <c r="R65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65&amp;"]"),0)*IF($B$2="Real",1,IF(R$8&lt;6,6/R$8,1))-AD65)*(1+S65)</f>
        <v>0</v>
      </c>
      <c r="S65" s="116">
        <v>0</v>
      </c>
      <c r="T65" s="11">
        <f t="shared" si="114"/>
        <v>0</v>
      </c>
      <c r="U65" s="116">
        <v>0</v>
      </c>
      <c r="V65" s="11">
        <f t="shared" si="140"/>
        <v>0</v>
      </c>
      <c r="W65" s="116">
        <v>0</v>
      </c>
      <c r="X65" s="11">
        <f t="shared" si="168"/>
        <v>0</v>
      </c>
      <c r="Y65" s="116">
        <v>0</v>
      </c>
      <c r="Z65" s="11"/>
      <c r="AA65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valor]",base!$AW$5,"[IF].[mes]","[IF].[mes].&amp;["&amp;AA$8&amp;"]","[IF].[ano]","[IF].[ano].&amp;["&amp;AA$7&amp;"]","[IF].[informacion]","[IF].[informacion].&amp;["&amp;AA$9&amp;"]","[IF].[cuenta_ppto]","[IF].[cuenta_ppto].&amp;["&amp;$A65&amp;"]"),0)</f>
        <v>0</v>
      </c>
      <c r="AB65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valor]",base!$AW$5,"[IF].[mes]","[IF].[mes].&amp;["&amp;AB$8&amp;"]","[IF].[ano]","[IF].[ano].&amp;["&amp;AB$7&amp;"]","[IF].[informacion]","[IF].[informacion].&amp;["&amp;AB$9&amp;"]","[IF].[cuenta_ppto]","[IF].[cuenta_ppto].&amp;["&amp;$A65&amp;"]"),0)</f>
        <v>0</v>
      </c>
      <c r="AC65" s="11">
        <f t="shared" si="169"/>
        <v>0</v>
      </c>
      <c r="AD65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65&amp;"]"),0)*IF($B$2="Real",1,IF(AD$8&lt;6,6/AD$8,1)))*(1+S63)</f>
        <v>0</v>
      </c>
      <c r="AE65" s="116">
        <v>0</v>
      </c>
      <c r="AF65" s="11">
        <f t="shared" si="116"/>
        <v>0</v>
      </c>
      <c r="AG65" s="116">
        <v>0</v>
      </c>
      <c r="AH65" s="11">
        <f t="shared" si="144"/>
        <v>0</v>
      </c>
      <c r="AI65" s="116">
        <v>0</v>
      </c>
      <c r="AJ65" s="11">
        <f t="shared" si="180"/>
        <v>0</v>
      </c>
      <c r="AK65" s="116">
        <v>0</v>
      </c>
      <c r="AL65" s="11"/>
      <c r="AM65" s="11">
        <f>IFERROR(GETPIVOTDATA("[Measures].[Suma de valor]",base!$K$3,"[IF].[departamento_jerarquia2]","[IF].[departamento_jerarquia2].&amp;["&amp;AM$5&amp;"]","[IF].[mes]","[IF].[mes].&amp;["&amp;AM$8&amp;"]","[IF].[ano]","[IF].[ano].&amp;["&amp;AM$7&amp;"]","[IF].[informacion]","[IF].[informacion].&amp;["&amp;AM$9&amp;"]","[IF].[cuenta_ppto]","[IF].[cuenta_ppto].&amp;["&amp;$A65&amp;"]"),0)-BK65</f>
        <v>0</v>
      </c>
      <c r="AN65" s="11">
        <f>IFERROR(GETPIVOTDATA("[Measures].[Suma de valor]",base!$K$3,"[IF].[departamento_jerarquia2]","[IF].[departamento_jerarquia2].&amp;["&amp;AN$5&amp;"]","[IF].[mes]","[IF].[mes].&amp;["&amp;AN$8&amp;"]","[IF].[ano]","[IF].[ano].&amp;["&amp;AN$7&amp;"]","[IF].[informacion]","[IF].[informacion].&amp;["&amp;AN$9&amp;"]","[IF].[cuenta_ppto]","[IF].[cuenta_ppto].&amp;["&amp;$A65&amp;"]"),0)-BL65</f>
        <v>0</v>
      </c>
      <c r="AO65" s="11">
        <f t="shared" si="170"/>
        <v>0</v>
      </c>
      <c r="AP65" s="3">
        <v>0</v>
      </c>
      <c r="AQ65" s="116">
        <v>0</v>
      </c>
      <c r="AR65" s="11">
        <f t="shared" si="118"/>
        <v>0</v>
      </c>
      <c r="AS65" s="116">
        <v>0</v>
      </c>
      <c r="AT65" s="11">
        <f t="shared" si="119"/>
        <v>0</v>
      </c>
      <c r="AU65" s="116">
        <v>0</v>
      </c>
      <c r="AV65" s="11">
        <f t="shared" si="171"/>
        <v>0</v>
      </c>
      <c r="AW65" s="116">
        <v>0</v>
      </c>
      <c r="AX65" s="11"/>
      <c r="AY65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65&amp;"]"),0)</f>
        <v>0</v>
      </c>
      <c r="AZ65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65&amp;"]"),0)</f>
        <v>0</v>
      </c>
      <c r="BA65" s="11">
        <f t="shared" si="172"/>
        <v>0</v>
      </c>
      <c r="BB65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INTERNOS]"),0)*IF($B$2="Real",1,IF(BB$8&lt;6,6/BB$8,1)))*(1+BC65)</f>
        <v>0</v>
      </c>
      <c r="BC65" s="116">
        <v>0</v>
      </c>
      <c r="BD65" s="11">
        <f t="shared" si="122"/>
        <v>0</v>
      </c>
      <c r="BE65" s="116">
        <v>0</v>
      </c>
      <c r="BF65" s="11">
        <f t="shared" si="123"/>
        <v>0</v>
      </c>
      <c r="BG65" s="116">
        <v>0</v>
      </c>
      <c r="BH65" s="11">
        <f t="shared" si="173"/>
        <v>0</v>
      </c>
      <c r="BI65" s="116">
        <v>0</v>
      </c>
      <c r="BJ65" s="11"/>
      <c r="BK65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65&amp;"]"),0)</f>
        <v>0</v>
      </c>
      <c r="BL65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65&amp;"]"),0)</f>
        <v>0</v>
      </c>
      <c r="BM65" s="11">
        <f t="shared" si="174"/>
        <v>0</v>
      </c>
      <c r="BN65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65&amp;"]"),0)*IF($B$2="Real",1,IF(BN$8&lt;6,6/BN$8,1)))*(1+BO65)</f>
        <v>0</v>
      </c>
      <c r="BO65" s="116">
        <v>0</v>
      </c>
      <c r="BP65" s="11">
        <f t="shared" si="126"/>
        <v>0</v>
      </c>
      <c r="BQ65" s="116">
        <v>0</v>
      </c>
      <c r="BR65" s="11">
        <f t="shared" si="127"/>
        <v>0</v>
      </c>
      <c r="BS65" s="116">
        <v>0</v>
      </c>
      <c r="BT65" s="11">
        <f t="shared" si="175"/>
        <v>0</v>
      </c>
      <c r="BU65" s="116">
        <v>0</v>
      </c>
      <c r="BV65" s="11"/>
      <c r="BW65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65&amp;"]"),0)</f>
        <v>0</v>
      </c>
      <c r="BX65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65&amp;"]"),0)</f>
        <v>0</v>
      </c>
      <c r="BY65" s="11">
        <f t="shared" si="176"/>
        <v>0</v>
      </c>
      <c r="BZ65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65&amp;"]"),0)*IF($B$2="Real",1,IF(BZ$8&lt;6,6/BZ$8,1)))*(1+CA65)</f>
        <v>0</v>
      </c>
      <c r="CA65" s="116">
        <v>0</v>
      </c>
      <c r="CB65" s="11">
        <f t="shared" si="130"/>
        <v>0</v>
      </c>
      <c r="CC65" s="116">
        <v>0</v>
      </c>
      <c r="CD65" s="11">
        <f t="shared" si="154"/>
        <v>0</v>
      </c>
      <c r="CE65" s="116">
        <v>0</v>
      </c>
      <c r="CF65" s="11">
        <f t="shared" si="177"/>
        <v>0</v>
      </c>
      <c r="CG65" s="116">
        <v>0</v>
      </c>
      <c r="CH65" s="11"/>
      <c r="CI65" s="11"/>
      <c r="CJ65" s="11"/>
      <c r="CK65" s="11"/>
      <c r="CL65" s="11"/>
      <c r="CM65" s="116"/>
      <c r="CN65" s="11"/>
      <c r="CO65" s="116"/>
      <c r="CP65" s="11"/>
      <c r="CQ65" s="116"/>
      <c r="CR65" s="11"/>
      <c r="CS65" s="116"/>
      <c r="CT65" s="11"/>
      <c r="CU65" s="11"/>
      <c r="CV65" s="11"/>
      <c r="CW65" s="11"/>
      <c r="CX65" s="11"/>
      <c r="CY65" s="116"/>
      <c r="CZ65" s="11"/>
      <c r="DA65" s="116"/>
      <c r="DB65" s="11"/>
      <c r="DC65" s="116"/>
      <c r="DD65" s="11"/>
      <c r="DE65" s="116"/>
      <c r="DF65" s="11"/>
      <c r="DG65" s="9">
        <f t="shared" si="178"/>
        <v>0</v>
      </c>
      <c r="DH65" s="3">
        <f t="shared" si="179"/>
        <v>0</v>
      </c>
      <c r="DI65" s="119">
        <f t="shared" si="181"/>
        <v>0</v>
      </c>
      <c r="DK65" s="11">
        <f t="shared" si="182"/>
        <v>0</v>
      </c>
      <c r="DL65" s="11">
        <f t="shared" si="182"/>
        <v>0</v>
      </c>
      <c r="DM65" s="11">
        <f t="shared" si="182"/>
        <v>0</v>
      </c>
    </row>
    <row r="66" spans="1:117" outlineLevel="1" x14ac:dyDescent="0.25">
      <c r="A66" t="s">
        <v>163</v>
      </c>
      <c r="B66" t="s">
        <v>198</v>
      </c>
      <c r="C66" s="11">
        <f>IFERROR(GETPIVOTDATA("[Measures].[Suma de valor]",base!$K$3,"[IF].[departamento_jerarquia2]","[IF].[departamento_jerarquia2].&amp;["&amp;C$5&amp;"]","[IF].[mes]","[IF].[mes].&amp;["&amp;C$8&amp;"]","[IF].[ano]","[IF].[ano].&amp;["&amp;C$7&amp;"]","[IF].[informacion]","[IF].[informacion].&amp;["&amp;C$9&amp;"]","[IF].[cuenta_ppto]","[IF].[cuenta_ppto].&amp;["&amp;$A66&amp;"]"),0)</f>
        <v>0</v>
      </c>
      <c r="D66" s="11">
        <f>IFERROR(GETPIVOTDATA("[Measures].[Suma de valor]",base!$K$3,"[IF].[departamento_jerarquia2]","[IF].[departamento_jerarquia2].&amp;["&amp;D$5&amp;"]","[IF].[mes]","[IF].[mes].&amp;["&amp;D$8&amp;"]","[IF].[ano]","[IF].[ano].&amp;["&amp;D$7&amp;"]","[IF].[informacion]","[IF].[informacion].&amp;["&amp;D$9&amp;"]","[IF].[cuenta_ppto]","[IF].[cuenta_ppto].&amp;["&amp;$A66&amp;"]"),0)</f>
        <v>0</v>
      </c>
      <c r="E66" s="11">
        <f t="shared" si="165"/>
        <v>0</v>
      </c>
      <c r="F66" s="3">
        <f>(IFERROR(GETPIVOTDATA("[Measures].[Suma de valor]",base!$K$3,"[IF].[departamento_jerarquia2]","[IF].[departamento_jerarquia2].&amp;["&amp;F$5&amp;"]","[IF].[mes]","[IF].[mes].&amp;["&amp;F$8&amp;"]","[IF].[ano]","[IF].[ano].&amp;["&amp;F$7&amp;"]","[IF].[informacion]","[IF].[informacion].&amp;["&amp;F$9&amp;"]","[IF].[cuenta_ppto]","[IF].[cuenta_ppto].&amp;["&amp;$A66&amp;"]"),0)*IF($B$2="Real",1,IF(F$8&lt;6,6/F$8,1)))*(1+G66)</f>
        <v>0</v>
      </c>
      <c r="G66" s="116">
        <v>0</v>
      </c>
      <c r="H66" s="11">
        <f t="shared" si="110"/>
        <v>0</v>
      </c>
      <c r="I66" s="116">
        <v>0</v>
      </c>
      <c r="J66" s="11">
        <f t="shared" si="111"/>
        <v>0</v>
      </c>
      <c r="K66" s="116">
        <v>0</v>
      </c>
      <c r="L66" s="11">
        <f t="shared" si="166"/>
        <v>0</v>
      </c>
      <c r="M66" s="116">
        <v>0</v>
      </c>
      <c r="N66" s="11"/>
      <c r="O66" s="11">
        <f>IFERROR(GETPIVOTDATA("[Measures].[Suma de valor]",base!$K$3,"[IF].[departamento_jerarquia2]","[IF].[departamento_jerarquia2].&amp;["&amp;O$5&amp;"]","[IF].[mes]","[IF].[mes].&amp;["&amp;O$8&amp;"]","[IF].[ano]","[IF].[ano].&amp;["&amp;O$7&amp;"]","[IF].[informacion]","[IF].[informacion].&amp;["&amp;O$9&amp;"]","[IF].[cuenta_ppto]","[IF].[cuenta_ppto].&amp;["&amp;$A66&amp;"]"),0)-AA66</f>
        <v>37.051845557503697</v>
      </c>
      <c r="P66" s="11">
        <f>IFERROR(GETPIVOTDATA("[Measures].[Suma de valor]",base!$K$3,"[IF].[departamento_jerarquia2]","[IF].[departamento_jerarquia2].&amp;["&amp;P$5&amp;"]","[IF].[mes]","[IF].[mes].&amp;["&amp;P$8&amp;"]","[IF].[ano]","[IF].[ano].&amp;["&amp;P$7&amp;"]","[IF].[informacion]","[IF].[informacion].&amp;["&amp;P$9&amp;"]","[IF].[cuenta_ppto]","[IF].[cuenta_ppto].&amp;["&amp;$A66&amp;"]"),0)-AB66</f>
        <v>17.826670499999992</v>
      </c>
      <c r="Q66" s="11">
        <f t="shared" si="167"/>
        <v>19.225175057503705</v>
      </c>
      <c r="R66" s="3">
        <f>(IFERROR(GETPIVOTDATA("[Measures].[Suma de valor]",base!$K$3,"[IF].[departamento_jerarquia2]","[IF].[departamento_jerarquia2].&amp;["&amp;R$5&amp;"]","[IF].[mes]","[IF].[mes].&amp;["&amp;R$8&amp;"]","[IF].[ano]","[IF].[ano].&amp;["&amp;R$7&amp;"]","[IF].[informacion]","[IF].[informacion].&amp;["&amp;R$9&amp;"]","[IF].[cuenta_ppto]","[IF].[cuenta_ppto].&amp;["&amp;$A66&amp;"]"),0)*IF($B$2="Real",1,IF(R$8&lt;6,6/R$8,1))-AD66)*(1+S66)</f>
        <v>11.693037599999997</v>
      </c>
      <c r="S66" s="116">
        <v>0</v>
      </c>
      <c r="T66" s="11">
        <f t="shared" si="114"/>
        <v>19.225175057503705</v>
      </c>
      <c r="U66" s="116">
        <v>0</v>
      </c>
      <c r="V66" s="11">
        <v>9</v>
      </c>
      <c r="W66" s="116">
        <v>0</v>
      </c>
      <c r="X66" s="11">
        <v>19</v>
      </c>
      <c r="Y66" s="116">
        <v>0</v>
      </c>
      <c r="Z66" s="11"/>
      <c r="AA66" s="11">
        <f>IFERROR(GETPIVOTDATA("[Measures].[Suma de valor]",base!$AW$5,"[IF].[mes]","[IF].[mes].&amp;["&amp;AA$8&amp;"]","[IF].[ano]","[IF].[ano].&amp;["&amp;AA$7&amp;"]","[IF].[informacion]","[IF].[informacion].&amp;["&amp;AA$9&amp;"]","[IF].[cuenta_ppto]","[IF].[cuenta_ppto].&amp;["&amp;$A66&amp;"]"),0)</f>
        <v>241.75536681332827</v>
      </c>
      <c r="AB66" s="11">
        <f>IFERROR(GETPIVOTDATA("[Measures].[Suma de valor]",base!$AW$5,"[IF].[mes]","[IF].[mes].&amp;["&amp;AB$8&amp;"]","[IF].[ano]","[IF].[ano].&amp;["&amp;AB$7&amp;"]","[IF].[informacion]","[IF].[informacion].&amp;["&amp;AB$9&amp;"]","[IF].[cuenta_ppto]","[IF].[cuenta_ppto].&amp;["&amp;$A66&amp;"]"),0)</f>
        <v>118.7799265</v>
      </c>
      <c r="AC66" s="11">
        <f t="shared" si="169"/>
        <v>122.97544031332826</v>
      </c>
      <c r="AD66" s="3">
        <f>(IFERROR(GETPIVOTDATA("[Measures].[Suma de valor]",base!$AW$5,"[IF].[mes]","[IF].[mes].&amp;["&amp;AD$8&amp;"]","[IF].[ano]","[IF].[ano].&amp;["&amp;AD$7&amp;"]","[IF].[informacion]","[IF].[informacion].&amp;["&amp;AD$9&amp;"]","[IF].[cuenta_ppto]","[IF].[cuenta_ppto].&amp;["&amp;$A66&amp;"]"),0)*IF($B$2="Real",1,IF(AD$8&lt;6,6/AD$8,1)))*(1+S64)</f>
        <v>112.32236759999999</v>
      </c>
      <c r="AE66" s="116">
        <v>0</v>
      </c>
      <c r="AF66" s="11">
        <f t="shared" si="116"/>
        <v>122.97544031332826</v>
      </c>
      <c r="AG66" s="116">
        <v>0</v>
      </c>
      <c r="AH66" s="11">
        <f>AD66+AF66</f>
        <v>235.29780791332826</v>
      </c>
      <c r="AI66" s="116">
        <v>0</v>
      </c>
      <c r="AJ66" s="11">
        <f t="shared" si="180"/>
        <v>235.29780791332826</v>
      </c>
      <c r="AK66" s="116">
        <v>0</v>
      </c>
      <c r="AL66" s="11"/>
      <c r="AM66" s="11">
        <f>IFERROR(GETPIVOTDATA("[Measures].[Suma de valor]",base!$K$3,"[IF].[departamento_jerarquia2]","[IF].[departamento_jerarquia2].&amp;["&amp;AM$5&amp;"]","[IF].[mes]","[IF].[mes].&amp;["&amp;AM$8&amp;"]","[IF].[ano]","[IF].[ano].&amp;["&amp;AM$7&amp;"]","[IF].[informacion]","[IF].[informacion].&amp;["&amp;AM$9&amp;"]","[IF].[cuenta_ppto]","[IF].[cuenta_ppto].&amp;["&amp;$A66&amp;"]"),0)-BK66</f>
        <v>173.10198983001197</v>
      </c>
      <c r="AN66" s="11">
        <f>IFERROR(GETPIVOTDATA("[Measures].[Suma de valor]",base!$K$3,"[IF].[departamento_jerarquia2]","[IF].[departamento_jerarquia2].&amp;["&amp;AN$5&amp;"]","[IF].[mes]","[IF].[mes].&amp;["&amp;AN$8&amp;"]","[IF].[ano]","[IF].[ano].&amp;["&amp;AN$7&amp;"]","[IF].[informacion]","[IF].[informacion].&amp;["&amp;AN$9&amp;"]","[IF].[cuenta_ppto]","[IF].[cuenta_ppto].&amp;["&amp;$A66&amp;"]"),0)-BL66</f>
        <v>83.0547325</v>
      </c>
      <c r="AO66" s="11">
        <f t="shared" si="170"/>
        <v>90.047257330011973</v>
      </c>
      <c r="AP66" s="3">
        <v>78.203947200000002</v>
      </c>
      <c r="AQ66" s="116">
        <v>0</v>
      </c>
      <c r="AR66" s="11">
        <f t="shared" si="118"/>
        <v>90.047257330011973</v>
      </c>
      <c r="AS66" s="116">
        <v>0</v>
      </c>
      <c r="AT66" s="11">
        <f t="shared" si="119"/>
        <v>168.25120453001199</v>
      </c>
      <c r="AU66" s="116">
        <v>0</v>
      </c>
      <c r="AV66" s="11">
        <f t="shared" si="171"/>
        <v>168.25120453001199</v>
      </c>
      <c r="AW66" s="116">
        <v>0</v>
      </c>
      <c r="AX66" s="11"/>
      <c r="AY66" s="11">
        <f>IFERROR(GETPIVOTDATA("[Measures].[Suma de valor]",base!$K$3,"[IF].[departamento_jerarquia2]","[IF].[departamento_jerarquia2].&amp;["&amp;AY$5&amp;"]","[IF].[mes]","[IF].[mes].&amp;["&amp;AY$8&amp;"]","[IF].[ano]","[IF].[ano].&amp;["&amp;AY$7&amp;"]","[IF].[informacion]","[IF].[informacion].&amp;["&amp;AY$9&amp;"]","[IF].[cuenta_ppto]","[IF].[cuenta_ppto].&amp;["&amp;$A66&amp;"]"),0)</f>
        <v>0</v>
      </c>
      <c r="AZ66" s="11">
        <f>IFERROR(GETPIVOTDATA("[Measures].[Suma de valor]",base!$K$3,"[IF].[departamento_jerarquia2]","[IF].[departamento_jerarquia2].&amp;["&amp;AZ$5&amp;"]","[IF].[mes]","[IF].[mes].&amp;["&amp;AZ$8&amp;"]","[IF].[ano]","[IF].[ano].&amp;["&amp;AZ$7&amp;"]","[IF].[informacion]","[IF].[informacion].&amp;["&amp;AZ$9&amp;"]","[IF].[cuenta_ppto]","[IF].[cuenta_ppto].&amp;["&amp;$A66&amp;"]"),0)</f>
        <v>0</v>
      </c>
      <c r="BA66" s="11">
        <f t="shared" si="172"/>
        <v>0</v>
      </c>
      <c r="BB66" s="3">
        <f>(IFERROR(GETPIVOTDATA("[Measures].[Suma de valor]",base!$BF$5,"[IF].[mes]","[IF].[mes].&amp;["&amp;BB$8&amp;"]","[IF].[ano]","[IF].[ano].&amp;["&amp;BB$7&amp;"]","[IF].[informacion]","[IF].[informacion].&amp;[PRESUPUESTO]","[IF].[grupo_analisis]","[IF].[grupo_analisis].&amp;[INGRESOS INTERNOS]"),0)*IF($B$2="Real",1,IF(BB$8&lt;6,6/BB$8,1)))*(1+BC66)</f>
        <v>0</v>
      </c>
      <c r="BC66" s="116">
        <v>0</v>
      </c>
      <c r="BD66" s="11">
        <f t="shared" si="122"/>
        <v>0</v>
      </c>
      <c r="BE66" s="116">
        <v>0</v>
      </c>
      <c r="BF66" s="11">
        <f t="shared" si="123"/>
        <v>0</v>
      </c>
      <c r="BG66" s="116">
        <v>0</v>
      </c>
      <c r="BH66" s="11">
        <f t="shared" si="173"/>
        <v>0</v>
      </c>
      <c r="BI66" s="116">
        <v>0</v>
      </c>
      <c r="BJ66" s="11"/>
      <c r="BK66" s="11">
        <f>IFERROR(GETPIVOTDATA("[Measures].[Suma de valor]",base!$AD$4,"[IF].[mes]","[IF].[mes].&amp;["&amp;BK$8&amp;"]","[IF].[ano]","[IF].[ano].&amp;["&amp;BK$7&amp;"]","[IF].[informacion]","[IF].[informacion].&amp;["&amp;BK$9&amp;"]","[IF].[departamento_hijo]","[IF].[departamento_hijo].&amp;["&amp;BK$5&amp;"]","[IF].[cuenta_ppto]","[IF].[cuenta_ppto].&amp;["&amp;$A66&amp;"]"),0)</f>
        <v>0</v>
      </c>
      <c r="BL66" s="11">
        <f>IFERROR(GETPIVOTDATA("[Measures].[Suma de valor]",base!$AD$4,"[IF].[mes]","[IF].[mes].&amp;["&amp;BL$8&amp;"]","[IF].[ano]","[IF].[ano].&amp;["&amp;BL$7&amp;"]","[IF].[informacion]","[IF].[informacion].&amp;["&amp;BL$9&amp;"]","[IF].[departamento_hijo]","[IF].[departamento_hijo].&amp;["&amp;BL$5&amp;"]","[IF].[cuenta_ppto]","[IF].[cuenta_ppto].&amp;["&amp;$A66&amp;"]"),0)</f>
        <v>0</v>
      </c>
      <c r="BM66" s="11">
        <f t="shared" si="174"/>
        <v>0</v>
      </c>
      <c r="BN66" s="3">
        <f>(IFERROR(GETPIVOTDATA("[Measures].[Suma de valor]",base!$AD$4,"[IF].[mes]","[IF].[mes].&amp;["&amp;BN$8&amp;"]","[IF].[ano]","[IF].[ano].&amp;["&amp;BN$7&amp;"]","[IF].[informacion]","[IF].[informacion].&amp;["&amp;BN$9&amp;"]","[IF].[departamento_hijo]","[IF].[departamento_hijo].&amp;["&amp;BN$5&amp;"]","[IF].[cuenta_ppto]","[IF].[cuenta_ppto].&amp;["&amp;$A66&amp;"]"),0)*IF($B$2="Real",1,IF(BN$8&lt;6,6/BN$8,1)))*(1+BO66)</f>
        <v>0</v>
      </c>
      <c r="BO66" s="116">
        <v>0</v>
      </c>
      <c r="BP66" s="11">
        <f t="shared" si="126"/>
        <v>0</v>
      </c>
      <c r="BQ66" s="116">
        <v>0</v>
      </c>
      <c r="BR66" s="11">
        <f t="shared" si="127"/>
        <v>0</v>
      </c>
      <c r="BS66" s="116">
        <v>0</v>
      </c>
      <c r="BT66" s="11">
        <f t="shared" si="175"/>
        <v>0</v>
      </c>
      <c r="BU66" s="116">
        <v>0</v>
      </c>
      <c r="BV66" s="11"/>
      <c r="BW66" s="11">
        <f>IFERROR(GETPIVOTDATA("[Measures].[Suma de valor]",base!$K$3,"[IF].[departamento_jerarquia2]","[IF].[departamento_jerarquia2].&amp;["&amp;BW$5&amp;"]","[IF].[mes]","[IF].[mes].&amp;["&amp;BW$8&amp;"]","[IF].[ano]","[IF].[ano].&amp;["&amp;BW$7&amp;"]","[IF].[informacion]","[IF].[informacion].&amp;["&amp;BW$9&amp;"]","[IF].[cuenta_ppto]","[IF].[cuenta_ppto].&amp;["&amp;$A66&amp;"]"),0)</f>
        <v>0</v>
      </c>
      <c r="BX66" s="11">
        <f>IFERROR(GETPIVOTDATA("[Measures].[Suma de valor]",base!$K$3,"[IF].[departamento_jerarquia2]","[IF].[departamento_jerarquia2].&amp;["&amp;BX$5&amp;"]","[IF].[mes]","[IF].[mes].&amp;["&amp;BX$8&amp;"]","[IF].[ano]","[IF].[ano].&amp;["&amp;BX$7&amp;"]","[IF].[informacion]","[IF].[informacion].&amp;["&amp;BX$9&amp;"]","[IF].[cuenta_ppto]","[IF].[cuenta_ppto].&amp;["&amp;$A66&amp;"]"),0)</f>
        <v>0</v>
      </c>
      <c r="BY66" s="11">
        <f t="shared" si="176"/>
        <v>0</v>
      </c>
      <c r="BZ66" s="3">
        <f>(IFERROR(GETPIVOTDATA("[Measures].[Suma de valor]",base!$K$3,"[IF].[departamento_jerarquia2]","[IF].[departamento_jerarquia2].&amp;["&amp;BZ$5&amp;"]","[IF].[mes]","[IF].[mes].&amp;["&amp;BZ$8&amp;"]","[IF].[ano]","[IF].[ano].&amp;["&amp;BZ$7&amp;"]","[IF].[informacion]","[IF].[informacion].&amp;["&amp;BZ$9&amp;"]","[IF].[cuenta_ppto]","[IF].[cuenta_ppto].&amp;["&amp;$A66&amp;"]"),0)*IF($B$2="Real",1,IF(BZ$8&lt;6,6/BZ$8,1)))*(1+CA66)</f>
        <v>0</v>
      </c>
      <c r="CA66" s="116">
        <v>0</v>
      </c>
      <c r="CB66" s="11">
        <f>BY66*(1+CC66)</f>
        <v>0</v>
      </c>
      <c r="CC66" s="116">
        <v>0</v>
      </c>
      <c r="CD66" s="11">
        <f>BZ66+CB66</f>
        <v>0</v>
      </c>
      <c r="CE66" s="116">
        <v>0</v>
      </c>
      <c r="CF66" s="11">
        <f t="shared" si="177"/>
        <v>0</v>
      </c>
      <c r="CG66" s="116">
        <v>0</v>
      </c>
      <c r="CH66" s="11"/>
      <c r="CI66" s="11"/>
      <c r="CJ66" s="11"/>
      <c r="CK66" s="11"/>
      <c r="CL66" s="11"/>
      <c r="CM66" s="116"/>
      <c r="CN66" s="11"/>
      <c r="CO66" s="116"/>
      <c r="CP66" s="11"/>
      <c r="CQ66" s="116"/>
      <c r="CR66" s="11"/>
      <c r="CS66" s="116"/>
      <c r="CT66" s="11"/>
      <c r="CU66" s="11"/>
      <c r="CV66" s="11"/>
      <c r="CW66" s="11"/>
      <c r="CX66" s="11"/>
      <c r="CY66" s="116"/>
      <c r="CZ66" s="11"/>
      <c r="DA66" s="116"/>
      <c r="DB66" s="11"/>
      <c r="DC66" s="116"/>
      <c r="DD66" s="11"/>
      <c r="DE66" s="116"/>
      <c r="DF66" s="11"/>
      <c r="DG66" s="9">
        <f t="shared" si="178"/>
        <v>451.90920220084394</v>
      </c>
      <c r="DH66" s="12">
        <f t="shared" si="179"/>
        <v>412.54901244334025</v>
      </c>
      <c r="DI66" s="119">
        <f t="shared" si="181"/>
        <v>422.54901244334025</v>
      </c>
      <c r="DJ66" s="3"/>
      <c r="DK66" s="11">
        <f t="shared" ref="DK66:DM66" si="184">(DG66+DG51)-(DG23+DG35)</f>
        <v>441.40920220084394</v>
      </c>
      <c r="DL66" s="11">
        <f t="shared" si="184"/>
        <v>417.48731964334024</v>
      </c>
      <c r="DM66" s="11">
        <f t="shared" si="184"/>
        <v>420.23731964334024</v>
      </c>
    </row>
    <row r="67" spans="1:117" x14ac:dyDescent="0.25">
      <c r="B67" t="s">
        <v>204</v>
      </c>
      <c r="C67" s="9">
        <f>IFERROR(GETPIVOTDATA("[Measures].[Suma de valor]",base!$A$3,"[IF].[departamento_jerarquia2]","[IF].[departamento_jerarquia2].&amp;["&amp;C$5&amp;"]","[IF].[grupo_analisis]","[IF].[grupo_analisis].&amp;["&amp;$B67&amp;"]","[IF].[mes]","[IF].[mes].&amp;["&amp;C$8&amp;"]","[IF].[ano]","[IF].[ano].&amp;["&amp;C$7&amp;"]","[IF].[informacion]","[IF].[informacion].&amp;["&amp;C$9&amp;"]"),0)</f>
        <v>0</v>
      </c>
      <c r="D67" s="9">
        <f>IFERROR(GETPIVOTDATA("[Measures].[Suma de valor]",base!$A$3,"[IF].[departamento_jerarquia2]","[IF].[departamento_jerarquia2].&amp;["&amp;D$5&amp;"]","[IF].[grupo_analisis]","[IF].[grupo_analisis].&amp;["&amp;$B67&amp;"]","[IF].[mes]","[IF].[mes].&amp;["&amp;D$8&amp;"]","[IF].[ano]","[IF].[ano].&amp;["&amp;D$7&amp;"]","[IF].[informacion]","[IF].[informacion].&amp;["&amp;D$9&amp;"]"),0)</f>
        <v>0</v>
      </c>
      <c r="E67" s="9">
        <f t="shared" si="165"/>
        <v>0</v>
      </c>
      <c r="F67" s="9">
        <f>(IFERROR(GETPIVOTDATA("[Measures].[Suma de valor]",base!$A$3,"[IF].[departamento_jerarquia2]","[IF].[departamento_jerarquia2].&amp;["&amp;F$5&amp;"]","[IF].[grupo_analisis]","[IF].[grupo_analisis].&amp;["&amp;$B67&amp;"]","[IF].[mes]","[IF].[mes].&amp;["&amp;F$8&amp;"]","[IF].[ano]","[IF].[ano].&amp;["&amp;F$7&amp;"]","[IF].[informacion]","[IF].[informacion].&amp;["&amp;F$9&amp;"]"),0)*IF($B$2="Real",1,IF(F$8&lt;6,6/F$8,1)))*(1+G67)</f>
        <v>0</v>
      </c>
      <c r="G67" s="116">
        <v>0</v>
      </c>
      <c r="H67" s="12">
        <f t="shared" si="110"/>
        <v>0</v>
      </c>
      <c r="I67" s="116">
        <v>0</v>
      </c>
      <c r="J67" s="12">
        <f t="shared" si="111"/>
        <v>0</v>
      </c>
      <c r="K67" s="116">
        <v>0</v>
      </c>
      <c r="L67" s="119">
        <f t="shared" si="166"/>
        <v>0</v>
      </c>
      <c r="M67" s="116">
        <v>0</v>
      </c>
      <c r="N67" s="11"/>
      <c r="O67" s="9">
        <f>IFERROR(GETPIVOTDATA("[Measures].[Suma de valor]",base!$A$3,"[IF].[departamento_jerarquia2]","[IF].[departamento_jerarquia2].&amp;["&amp;O$5&amp;"]","[IF].[grupo_analisis]","[IF].[grupo_analisis].&amp;["&amp;$B67&amp;"]","[IF].[mes]","[IF].[mes].&amp;["&amp;O$8&amp;"]","[IF].[ano]","[IF].[ano].&amp;["&amp;O$7&amp;"]","[IF].[informacion]","[IF].[informacion].&amp;["&amp;O$9&amp;"]"),0)-AA67</f>
        <v>0</v>
      </c>
      <c r="P67" s="9">
        <f>IFERROR(GETPIVOTDATA("[Measures].[Suma de valor]",base!$A$3,"[IF].[departamento_jerarquia2]","[IF].[departamento_jerarquia2].&amp;["&amp;P$5&amp;"]","[IF].[grupo_analisis]","[IF].[grupo_analisis].&amp;["&amp;$B67&amp;"]","[IF].[mes]","[IF].[mes].&amp;["&amp;P$8&amp;"]","[IF].[ano]","[IF].[ano].&amp;["&amp;P$7&amp;"]","[IF].[informacion]","[IF].[informacion].&amp;["&amp;P$9&amp;"]"),0)-AB67</f>
        <v>0</v>
      </c>
      <c r="Q67" s="9">
        <f t="shared" si="167"/>
        <v>0</v>
      </c>
      <c r="R67" s="9">
        <f>(IFERROR(GETPIVOTDATA("[Measures].[Suma de valor]",base!$A$3,"[IF].[departamento_jerarquia2]","[IF].[departamento_jerarquia2].&amp;["&amp;R$5&amp;"]","[IF].[grupo_analisis]","[IF].[grupo_analisis].&amp;["&amp;$B67&amp;"]","[IF].[mes]","[IF].[mes].&amp;["&amp;R$8&amp;"]","[IF].[ano]","[IF].[ano].&amp;["&amp;R$7&amp;"]","[IF].[informacion]","[IF].[informacion].&amp;["&amp;R$9&amp;"]"),0)*IF($B$2="Real",1,IF(R$8&lt;6,6/R$8,1))-AD67)*(1+S67)</f>
        <v>0</v>
      </c>
      <c r="S67" s="116">
        <v>0</v>
      </c>
      <c r="T67" s="12">
        <f t="shared" si="114"/>
        <v>0</v>
      </c>
      <c r="U67" s="116">
        <v>0</v>
      </c>
      <c r="V67" s="12">
        <f t="shared" si="140"/>
        <v>0</v>
      </c>
      <c r="W67" s="116">
        <v>0</v>
      </c>
      <c r="X67" s="119">
        <f t="shared" si="168"/>
        <v>0</v>
      </c>
      <c r="Y67" s="116">
        <v>0</v>
      </c>
      <c r="Z67" s="11"/>
      <c r="AA67" s="9">
        <f>IFERROR(GETPIVOTDATA("[Measures].[Suma de valor]",base!$AN$5,"[IF].[grupo_analisis]","[IF].[grupo_analisis].&amp;["&amp;$B67&amp;"]","[IF].[mes]","[IF].[mes].&amp;["&amp;AA$8&amp;"]","[IF].[ano]","[IF].[ano].&amp;["&amp;AA$7&amp;"]","[IF].[informacion]","[IF].[informacion].&amp;["&amp;AA$9&amp;"]"),0)</f>
        <v>0</v>
      </c>
      <c r="AB67" s="9">
        <f>IFERROR(GETPIVOTDATA("[Measures].[Suma de valor]",base!$AN$5,"[IF].[grupo_analisis]","[IF].[grupo_analisis].&amp;["&amp;$B67&amp;"]","[IF].[mes]","[IF].[mes].&amp;["&amp;AB$8&amp;"]","[IF].[ano]","[IF].[ano].&amp;["&amp;AB$7&amp;"]","[IF].[informacion]","[IF].[informacion].&amp;["&amp;AB$9&amp;"]"),0)</f>
        <v>0</v>
      </c>
      <c r="AC67" s="9">
        <f t="shared" si="169"/>
        <v>0</v>
      </c>
      <c r="AD67" s="9">
        <f>(IFERROR(GETPIVOTDATA("[Measures].[Suma de valor]",base!$AN$5,"[IF].[grupo_analisis]","[IF].[grupo_analisis].&amp;["&amp;$B67&amp;"]","[IF].[mes]","[IF].[mes].&amp;["&amp;AD$8&amp;"]","[IF].[ano]","[IF].[ano].&amp;["&amp;AD$7&amp;"]","[IF].[informacion]","[IF].[informacion].&amp;["&amp;AD$9&amp;"]"),0)*IF($B$2="Real",1,IF(AD$8&lt;6,6/AD$8,1)))*(1+S67)</f>
        <v>0</v>
      </c>
      <c r="AE67" s="116">
        <v>0</v>
      </c>
      <c r="AF67" s="12">
        <f t="shared" si="116"/>
        <v>0</v>
      </c>
      <c r="AG67" s="116">
        <v>0</v>
      </c>
      <c r="AH67" s="12">
        <f t="shared" si="144"/>
        <v>0</v>
      </c>
      <c r="AI67" s="116">
        <v>0</v>
      </c>
      <c r="AJ67" s="119">
        <f t="shared" si="180"/>
        <v>0</v>
      </c>
      <c r="AK67" s="116">
        <v>0</v>
      </c>
      <c r="AL67" s="11"/>
      <c r="AM67" s="9">
        <f>IFERROR(GETPIVOTDATA("[Measures].[Suma de valor]",base!$A$3,"[IF].[departamento_jerarquia2]","[IF].[departamento_jerarquia2].&amp;["&amp;AM$5&amp;"]","[IF].[grupo_analisis]","[IF].[grupo_analisis].&amp;["&amp;$B67&amp;"]","[IF].[mes]","[IF].[mes].&amp;["&amp;AM$8&amp;"]","[IF].[ano]","[IF].[ano].&amp;["&amp;AM$7&amp;"]","[IF].[informacion]","[IF].[informacion].&amp;["&amp;AM$9&amp;"]"),0)-BK67</f>
        <v>0</v>
      </c>
      <c r="AN67" s="9">
        <f>IFERROR(GETPIVOTDATA("[Measures].[Suma de valor]",base!$A$3,"[IF].[departamento_jerarquia2]","[IF].[departamento_jerarquia2].&amp;["&amp;AN$5&amp;"]","[IF].[grupo_analisis]","[IF].[grupo_analisis].&amp;["&amp;$B67&amp;"]","[IF].[mes]","[IF].[mes].&amp;["&amp;AN$8&amp;"]","[IF].[ano]","[IF].[ano].&amp;["&amp;AN$7&amp;"]","[IF].[informacion]","[IF].[informacion].&amp;["&amp;AN$9&amp;"]"),0)-BL67</f>
        <v>0</v>
      </c>
      <c r="AO67" s="9">
        <f t="shared" ref="AO67:AO73" si="185">AM67-AN67</f>
        <v>0</v>
      </c>
      <c r="AP67" s="9">
        <v>0</v>
      </c>
      <c r="AQ67" s="116">
        <v>0</v>
      </c>
      <c r="AR67" s="12">
        <f t="shared" si="118"/>
        <v>0</v>
      </c>
      <c r="AS67" s="116">
        <v>0</v>
      </c>
      <c r="AT67" s="12">
        <f t="shared" si="119"/>
        <v>0</v>
      </c>
      <c r="AU67" s="116">
        <v>0</v>
      </c>
      <c r="AV67" s="119">
        <f t="shared" si="171"/>
        <v>0</v>
      </c>
      <c r="AW67" s="116">
        <v>0</v>
      </c>
      <c r="AX67" s="11"/>
      <c r="AY67" s="9">
        <f>IFERROR(GETPIVOTDATA("[Measures].[Suma de valor]",base!$A$3,"[IF].[departamento_jerarquia2]","[IF].[departamento_jerarquia2].&amp;["&amp;AY$5&amp;"]","[IF].[grupo_analisis]","[IF].[grupo_analisis].&amp;["&amp;$B67&amp;"]","[IF].[mes]","[IF].[mes].&amp;["&amp;AY$8&amp;"]","[IF].[ano]","[IF].[ano].&amp;["&amp;AY$7&amp;"]","[IF].[informacion]","[IF].[informacion].&amp;["&amp;AY$9&amp;"]"),0)</f>
        <v>0</v>
      </c>
      <c r="AZ67" s="9">
        <f>IFERROR(GETPIVOTDATA("[Measures].[Suma de valor]",base!$A$3,"[IF].[departamento_jerarquia2]","[IF].[departamento_jerarquia2].&amp;["&amp;AZ$5&amp;"]","[IF].[grupo_analisis]","[IF].[grupo_analisis].&amp;["&amp;$B67&amp;"]","[IF].[mes]","[IF].[mes].&amp;["&amp;AZ$8&amp;"]","[IF].[ano]","[IF].[ano].&amp;["&amp;AZ$7&amp;"]","[IF].[informacion]","[IF].[informacion].&amp;["&amp;AZ$9&amp;"]"),0)</f>
        <v>0</v>
      </c>
      <c r="BA67" s="9">
        <f t="shared" si="172"/>
        <v>0</v>
      </c>
      <c r="BB67" s="9">
        <f>(IFERROR(GETPIVOTDATA("[Measures].[Suma de valor]",base!$A$3,"[IF].[departamento_jerarquia2]","[IF].[departamento_jerarquia2].&amp;["&amp;BB$5&amp;"]","[IF].[grupo_analisis]","[IF].[grupo_analisis].&amp;["&amp;$B67&amp;"]","[IF].[mes]","[IF].[mes].&amp;["&amp;BB$8&amp;"]","[IF].[ano]","[IF].[ano].&amp;["&amp;BB$7&amp;"]","[IF].[informacion]","[IF].[informacion].&amp;["&amp;BB$9&amp;"]"),0)*IF($B$2="Real",1,IF(BB$8&lt;6,6/BB$8,1)))*(1+BC67)</f>
        <v>0</v>
      </c>
      <c r="BC67" s="116">
        <v>0</v>
      </c>
      <c r="BD67" s="12">
        <f t="shared" si="122"/>
        <v>0</v>
      </c>
      <c r="BE67" s="116">
        <v>0</v>
      </c>
      <c r="BF67" s="12">
        <f t="shared" si="123"/>
        <v>0</v>
      </c>
      <c r="BG67" s="116">
        <v>0</v>
      </c>
      <c r="BH67" s="119">
        <f t="shared" si="173"/>
        <v>0</v>
      </c>
      <c r="BI67" s="116">
        <v>0</v>
      </c>
      <c r="BJ67" s="11"/>
      <c r="BK67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67&amp;"]"),0)</f>
        <v>0</v>
      </c>
      <c r="BL67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67&amp;"]"),0)</f>
        <v>0</v>
      </c>
      <c r="BM67" s="9">
        <f t="shared" si="174"/>
        <v>0</v>
      </c>
      <c r="BN67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67&amp;"]"),0)*IF($B$2="Real",1,IF(BN$8&lt;6,6/BN$8,1)))*(1+BO67)</f>
        <v>0</v>
      </c>
      <c r="BO67" s="116">
        <v>0</v>
      </c>
      <c r="BP67" s="12">
        <f t="shared" si="126"/>
        <v>0</v>
      </c>
      <c r="BQ67" s="116">
        <v>0</v>
      </c>
      <c r="BR67" s="12">
        <f t="shared" si="127"/>
        <v>0</v>
      </c>
      <c r="BS67" s="116">
        <v>0</v>
      </c>
      <c r="BT67" s="119">
        <f t="shared" si="175"/>
        <v>0</v>
      </c>
      <c r="BU67" s="116">
        <v>0</v>
      </c>
      <c r="BV67" s="11"/>
      <c r="BW67" s="9">
        <f>IFERROR(GETPIVOTDATA("[Measures].[Suma de valor]",base!$A$3,"[IF].[departamento_jerarquia2]","[IF].[departamento_jerarquia2].&amp;["&amp;BW$5&amp;"]","[IF].[grupo_analisis]","[IF].[grupo_analisis].&amp;["&amp;$B67&amp;"]","[IF].[mes]","[IF].[mes].&amp;["&amp;BW$8&amp;"]","[IF].[ano]","[IF].[ano].&amp;["&amp;BW$7&amp;"]","[IF].[informacion]","[IF].[informacion].&amp;["&amp;BW$9&amp;"]"),0)</f>
        <v>0</v>
      </c>
      <c r="BX67" s="9">
        <f>IFERROR(GETPIVOTDATA("[Measures].[Suma de valor]",base!$A$3,"[IF].[departamento_jerarquia2]","[IF].[departamento_jerarquia2].&amp;["&amp;BX$5&amp;"]","[IF].[grupo_analisis]","[IF].[grupo_analisis].&amp;["&amp;$B67&amp;"]","[IF].[mes]","[IF].[mes].&amp;["&amp;BX$8&amp;"]","[IF].[ano]","[IF].[ano].&amp;["&amp;BX$7&amp;"]","[IF].[informacion]","[IF].[informacion].&amp;["&amp;BX$9&amp;"]"),0)</f>
        <v>0</v>
      </c>
      <c r="BY67" s="9">
        <f t="shared" si="176"/>
        <v>0</v>
      </c>
      <c r="BZ67" s="9">
        <f>(IFERROR(GETPIVOTDATA("[Measures].[Suma de valor]",base!$A$3,"[IF].[departamento_jerarquia2]","[IF].[departamento_jerarquia2].&amp;["&amp;BZ$5&amp;"]","[IF].[grupo_analisis]","[IF].[grupo_analisis].&amp;["&amp;$B67&amp;"]","[IF].[mes]","[IF].[mes].&amp;["&amp;BZ$8&amp;"]","[IF].[ano]","[IF].[ano].&amp;["&amp;BZ$7&amp;"]","[IF].[informacion]","[IF].[informacion].&amp;["&amp;BZ$9&amp;"]"),0)*IF($B$2="Real",1,IF(BZ$8&lt;6,6/BZ$8,1)))*(1+CA67)</f>
        <v>0</v>
      </c>
      <c r="CA67" s="116">
        <v>0</v>
      </c>
      <c r="CB67" s="12">
        <f t="shared" si="130"/>
        <v>0</v>
      </c>
      <c r="CC67" s="116">
        <v>0</v>
      </c>
      <c r="CD67" s="12">
        <f t="shared" si="154"/>
        <v>0</v>
      </c>
      <c r="CE67" s="116">
        <v>0</v>
      </c>
      <c r="CF67" s="119">
        <f t="shared" si="177"/>
        <v>0</v>
      </c>
      <c r="CG67" s="116">
        <v>0</v>
      </c>
      <c r="CH67" s="11"/>
      <c r="CI67" s="9"/>
      <c r="CJ67" s="9"/>
      <c r="CK67" s="9"/>
      <c r="CL67" s="9"/>
      <c r="CM67" s="116"/>
      <c r="CN67" s="12"/>
      <c r="CO67" s="116"/>
      <c r="CP67" s="12"/>
      <c r="CQ67" s="116"/>
      <c r="CR67" s="119"/>
      <c r="CS67" s="116"/>
      <c r="CT67" s="11"/>
      <c r="CU67" s="9"/>
      <c r="CV67" s="9"/>
      <c r="CW67" s="9"/>
      <c r="CX67" s="9"/>
      <c r="CY67" s="116"/>
      <c r="CZ67" s="12"/>
      <c r="DA67" s="116"/>
      <c r="DB67" s="12"/>
      <c r="DC67" s="116"/>
      <c r="DD67" s="119"/>
      <c r="DE67" s="116"/>
      <c r="DF67" s="11"/>
      <c r="DG67" s="9">
        <f t="shared" si="178"/>
        <v>0</v>
      </c>
      <c r="DH67" s="12">
        <f t="shared" si="179"/>
        <v>0</v>
      </c>
      <c r="DI67" s="119">
        <f t="shared" si="181"/>
        <v>0</v>
      </c>
      <c r="DK67" s="9">
        <f t="shared" ref="DK67:DM73" si="186">DG67</f>
        <v>0</v>
      </c>
      <c r="DL67" s="12">
        <f t="shared" si="186"/>
        <v>0</v>
      </c>
      <c r="DM67" s="119">
        <f t="shared" si="186"/>
        <v>0</v>
      </c>
    </row>
    <row r="68" spans="1:117" x14ac:dyDescent="0.25">
      <c r="B68" t="s">
        <v>205</v>
      </c>
      <c r="C68" s="9">
        <f>IFERROR(GETPIVOTDATA("[Measures].[Suma de valor]",base!$A$3,"[IF].[departamento_jerarquia2]","[IF].[departamento_jerarquia2].&amp;["&amp;C$5&amp;"]","[IF].[grupo_analisis]","[IF].[grupo_analisis].&amp;["&amp;$B68&amp;"]","[IF].[mes]","[IF].[mes].&amp;["&amp;C$8&amp;"]","[IF].[ano]","[IF].[ano].&amp;["&amp;C$7&amp;"]","[IF].[informacion]","[IF].[informacion].&amp;["&amp;C$9&amp;"]"),0)</f>
        <v>0</v>
      </c>
      <c r="D68" s="9">
        <f>IFERROR(GETPIVOTDATA("[Measures].[Suma de valor]",base!$A$3,"[IF].[departamento_jerarquia2]","[IF].[departamento_jerarquia2].&amp;["&amp;D$5&amp;"]","[IF].[grupo_analisis]","[IF].[grupo_analisis].&amp;["&amp;$B68&amp;"]","[IF].[mes]","[IF].[mes].&amp;["&amp;D$8&amp;"]","[IF].[ano]","[IF].[ano].&amp;["&amp;D$7&amp;"]","[IF].[informacion]","[IF].[informacion].&amp;["&amp;D$9&amp;"]"),0)</f>
        <v>0</v>
      </c>
      <c r="E68" s="9">
        <f t="shared" si="165"/>
        <v>0</v>
      </c>
      <c r="F68" s="9">
        <f>(IFERROR(GETPIVOTDATA("[Measures].[Suma de valor]",base!$A$3,"[IF].[departamento_jerarquia2]","[IF].[departamento_jerarquia2].&amp;["&amp;F$5&amp;"]","[IF].[grupo_analisis]","[IF].[grupo_analisis].&amp;["&amp;$B68&amp;"]","[IF].[mes]","[IF].[mes].&amp;["&amp;F$8&amp;"]","[IF].[ano]","[IF].[ano].&amp;["&amp;F$7&amp;"]","[IF].[informacion]","[IF].[informacion].&amp;["&amp;F$9&amp;"]"),0)*IF($B$2="Real",1,IF(F$8&lt;6,6/F$8,1)))*(1+G68)</f>
        <v>0</v>
      </c>
      <c r="G68" s="116">
        <v>0</v>
      </c>
      <c r="H68" s="12">
        <f t="shared" si="110"/>
        <v>0</v>
      </c>
      <c r="I68" s="116">
        <v>0</v>
      </c>
      <c r="J68" s="12">
        <f t="shared" si="111"/>
        <v>0</v>
      </c>
      <c r="K68" s="116">
        <v>0</v>
      </c>
      <c r="L68" s="119">
        <f t="shared" si="166"/>
        <v>0</v>
      </c>
      <c r="M68" s="116">
        <v>0</v>
      </c>
      <c r="N68" s="11"/>
      <c r="O68" s="9">
        <f>IFERROR(GETPIVOTDATA("[Measures].[Suma de valor]",base!$A$3,"[IF].[departamento_jerarquia2]","[IF].[departamento_jerarquia2].&amp;["&amp;O$5&amp;"]","[IF].[grupo_analisis]","[IF].[grupo_analisis].&amp;["&amp;$B68&amp;"]","[IF].[mes]","[IF].[mes].&amp;["&amp;O$8&amp;"]","[IF].[ano]","[IF].[ano].&amp;["&amp;O$7&amp;"]","[IF].[informacion]","[IF].[informacion].&amp;["&amp;O$9&amp;"]"),0)-AA68</f>
        <v>0.62840129362500008</v>
      </c>
      <c r="P68" s="9">
        <f>IFERROR(GETPIVOTDATA("[Measures].[Suma de valor]",base!$A$3,"[IF].[departamento_jerarquia2]","[IF].[departamento_jerarquia2].&amp;["&amp;P$5&amp;"]","[IF].[grupo_analisis]","[IF].[grupo_analisis].&amp;["&amp;$B68&amp;"]","[IF].[mes]","[IF].[mes].&amp;["&amp;P$8&amp;"]","[IF].[ano]","[IF].[ano].&amp;["&amp;P$7&amp;"]","[IF].[informacion]","[IF].[informacion].&amp;["&amp;P$9&amp;"]"),0)-AB68</f>
        <v>9.9287404392749856E-2</v>
      </c>
      <c r="Q68" s="9">
        <f t="shared" si="167"/>
        <v>0.52911388923225022</v>
      </c>
      <c r="R68" s="9">
        <f>(IFERROR(GETPIVOTDATA("[Measures].[Suma de valor]",base!$A$3,"[IF].[departamento_jerarquia2]","[IF].[departamento_jerarquia2].&amp;["&amp;R$5&amp;"]","[IF].[grupo_analisis]","[IF].[grupo_analisis].&amp;["&amp;$B68&amp;"]","[IF].[mes]","[IF].[mes].&amp;["&amp;R$8&amp;"]","[IF].[ano]","[IF].[ano].&amp;["&amp;R$7&amp;"]","[IF].[informacion]","[IF].[informacion].&amp;["&amp;R$9&amp;"]"),0)*IF($B$2="Real",1,IF(R$8&lt;6,6/R$8,1))-AD68)*(1+S68)</f>
        <v>0.31027199999999944</v>
      </c>
      <c r="S68" s="116">
        <v>0</v>
      </c>
      <c r="T68" s="12">
        <f t="shared" si="114"/>
        <v>0.52911388923225022</v>
      </c>
      <c r="U68" s="116">
        <v>0</v>
      </c>
      <c r="V68" s="12">
        <f t="shared" si="140"/>
        <v>0.83938588923224966</v>
      </c>
      <c r="W68" s="116">
        <v>0</v>
      </c>
      <c r="X68" s="119">
        <f t="shared" si="168"/>
        <v>0.83938588923224966</v>
      </c>
      <c r="Y68" s="116">
        <v>0</v>
      </c>
      <c r="Z68" s="11"/>
      <c r="AA68" s="9">
        <f>IFERROR(GETPIVOTDATA("[Measures].[Suma de valor]",base!$AN$5,"[IF].[grupo_analisis]","[IF].[grupo_analisis].&amp;["&amp;$B68&amp;"]","[IF].[mes]","[IF].[mes].&amp;["&amp;AA$8&amp;"]","[IF].[ano]","[IF].[ano].&amp;["&amp;AA$7&amp;"]","[IF].[informacion]","[IF].[informacion].&amp;["&amp;AA$9&amp;"]"),0)</f>
        <v>5.5057504911681301</v>
      </c>
      <c r="AB68" s="9">
        <f>IFERROR(GETPIVOTDATA("[Measures].[Suma de valor]",base!$AN$5,"[IF].[grupo_analisis]","[IF].[grupo_analisis].&amp;["&amp;$B68&amp;"]","[IF].[mes]","[IF].[mes].&amp;["&amp;AB$8&amp;"]","[IF].[ano]","[IF].[ano].&amp;["&amp;AB$7&amp;"]","[IF].[informacion]","[IF].[informacion].&amp;["&amp;AB$9&amp;"]"),0)</f>
        <v>2.7737970974505042</v>
      </c>
      <c r="AC68" s="9">
        <f t="shared" si="169"/>
        <v>2.7319533937176259</v>
      </c>
      <c r="AD68" s="9">
        <f>(IFERROR(GETPIVOTDATA("[Measures].[Suma de valor]",base!$AN$5,"[IF].[grupo_analisis]","[IF].[grupo_analisis].&amp;["&amp;$B68&amp;"]","[IF].[mes]","[IF].[mes].&amp;["&amp;AD$8&amp;"]","[IF].[ano]","[IF].[ano].&amp;["&amp;AD$7&amp;"]","[IF].[informacion]","[IF].[informacion].&amp;["&amp;AD$9&amp;"]"),0)*IF($B$2="Real",1,IF(AD$8&lt;6,6/AD$8,1)))*(1+S68)</f>
        <v>4.1441100000000004</v>
      </c>
      <c r="AE68" s="116">
        <v>0</v>
      </c>
      <c r="AF68" s="12">
        <f t="shared" si="116"/>
        <v>2.7319533937176259</v>
      </c>
      <c r="AG68" s="116">
        <v>0</v>
      </c>
      <c r="AH68" s="12">
        <v>8.1</v>
      </c>
      <c r="AI68" s="116">
        <v>0</v>
      </c>
      <c r="AJ68" s="119">
        <f t="shared" si="180"/>
        <v>8.1</v>
      </c>
      <c r="AK68" s="116">
        <v>0</v>
      </c>
      <c r="AL68" s="11"/>
      <c r="AM68" s="9">
        <f>IFERROR(GETPIVOTDATA("[Measures].[Suma de valor]",base!$A$3,"[IF].[departamento_jerarquia2]","[IF].[departamento_jerarquia2].&amp;["&amp;AM$5&amp;"]","[IF].[grupo_analisis]","[IF].[grupo_analisis].&amp;["&amp;$B68&amp;"]","[IF].[mes]","[IF].[mes].&amp;["&amp;AM$8&amp;"]","[IF].[ano]","[IF].[ano].&amp;["&amp;AM$7&amp;"]","[IF].[informacion]","[IF].[informacion].&amp;["&amp;AM$9&amp;"]"),0)-BK68</f>
        <v>0.97750000000000004</v>
      </c>
      <c r="AN68" s="9">
        <f>IFERROR(GETPIVOTDATA("[Measures].[Suma de valor]",base!$A$3,"[IF].[departamento_jerarquia2]","[IF].[departamento_jerarquia2].&amp;["&amp;AN$5&amp;"]","[IF].[grupo_analisis]","[IF].[grupo_analisis].&amp;["&amp;$B68&amp;"]","[IF].[mes]","[IF].[mes].&amp;["&amp;AN$8&amp;"]","[IF].[ano]","[IF].[ano].&amp;["&amp;AN$7&amp;"]","[IF].[informacion]","[IF].[informacion].&amp;["&amp;AN$9&amp;"]"),0)-BL68</f>
        <v>0.37088649999999995</v>
      </c>
      <c r="AO68" s="9">
        <f t="shared" si="185"/>
        <v>0.60661350000000014</v>
      </c>
      <c r="AP68" s="9">
        <v>0.17301000000000002</v>
      </c>
      <c r="AQ68" s="116">
        <v>0</v>
      </c>
      <c r="AR68" s="12">
        <f t="shared" si="118"/>
        <v>0.60661350000000014</v>
      </c>
      <c r="AS68" s="116">
        <v>0</v>
      </c>
      <c r="AT68" s="12">
        <f t="shared" si="119"/>
        <v>0.77962350000000014</v>
      </c>
      <c r="AU68" s="116">
        <v>0</v>
      </c>
      <c r="AV68" s="119">
        <f t="shared" si="171"/>
        <v>0.77962350000000014</v>
      </c>
      <c r="AW68" s="116">
        <v>0</v>
      </c>
      <c r="AX68" s="11"/>
      <c r="AY68" s="9">
        <f>IFERROR(GETPIVOTDATA("[Measures].[Suma de valor]",base!$A$3,"[IF].[departamento_jerarquia2]","[IF].[departamento_jerarquia2].&amp;["&amp;AY$5&amp;"]","[IF].[grupo_analisis]","[IF].[grupo_analisis].&amp;["&amp;$B68&amp;"]","[IF].[mes]","[IF].[mes].&amp;["&amp;AY$8&amp;"]","[IF].[ano]","[IF].[ano].&amp;["&amp;AY$7&amp;"]","[IF].[informacion]","[IF].[informacion].&amp;["&amp;AY$9&amp;"]"),0)</f>
        <v>0</v>
      </c>
      <c r="AZ68" s="9">
        <f>IFERROR(GETPIVOTDATA("[Measures].[Suma de valor]",base!$A$3,"[IF].[departamento_jerarquia2]","[IF].[departamento_jerarquia2].&amp;["&amp;AZ$5&amp;"]","[IF].[grupo_analisis]","[IF].[grupo_analisis].&amp;["&amp;$B68&amp;"]","[IF].[mes]","[IF].[mes].&amp;["&amp;AZ$8&amp;"]","[IF].[ano]","[IF].[ano].&amp;["&amp;AZ$7&amp;"]","[IF].[informacion]","[IF].[informacion].&amp;["&amp;AZ$9&amp;"]"),0)</f>
        <v>0</v>
      </c>
      <c r="BA68" s="9">
        <f t="shared" si="172"/>
        <v>0</v>
      </c>
      <c r="BB68" s="9">
        <f>(IFERROR(GETPIVOTDATA("[Measures].[Suma de valor]",base!$A$3,"[IF].[departamento_jerarquia2]","[IF].[departamento_jerarquia2].&amp;["&amp;BB$5&amp;"]","[IF].[grupo_analisis]","[IF].[grupo_analisis].&amp;["&amp;$B68&amp;"]","[IF].[mes]","[IF].[mes].&amp;["&amp;BB$8&amp;"]","[IF].[ano]","[IF].[ano].&amp;["&amp;BB$7&amp;"]","[IF].[informacion]","[IF].[informacion].&amp;["&amp;BB$9&amp;"]"),0)*IF($B$2="Real",1,IF(BB$8&lt;6,6/BB$8,1)))*(1+BC68)</f>
        <v>0</v>
      </c>
      <c r="BC68" s="116">
        <v>0</v>
      </c>
      <c r="BD68" s="12">
        <f t="shared" si="122"/>
        <v>0</v>
      </c>
      <c r="BE68" s="116">
        <v>0</v>
      </c>
      <c r="BF68" s="12">
        <f t="shared" si="123"/>
        <v>0</v>
      </c>
      <c r="BG68" s="116">
        <v>0</v>
      </c>
      <c r="BH68" s="119">
        <f t="shared" si="173"/>
        <v>0</v>
      </c>
      <c r="BI68" s="116">
        <v>0</v>
      </c>
      <c r="BJ68" s="11"/>
      <c r="BK68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68&amp;"]"),0)</f>
        <v>0.25012499999999999</v>
      </c>
      <c r="BL68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68&amp;"]"),0)</f>
        <v>0.1437468375</v>
      </c>
      <c r="BM68" s="9">
        <f t="shared" si="174"/>
        <v>0.10637816249999998</v>
      </c>
      <c r="BN68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68&amp;"]"),0)*IF($B$2="Real",1,IF(BN$8&lt;6,6/BN$8,1)))*(1+BO68)</f>
        <v>0.16148759999999998</v>
      </c>
      <c r="BO68" s="116">
        <v>0</v>
      </c>
      <c r="BP68" s="12">
        <f t="shared" si="126"/>
        <v>0.10637816249999998</v>
      </c>
      <c r="BQ68" s="116">
        <v>0</v>
      </c>
      <c r="BR68" s="12">
        <f t="shared" si="127"/>
        <v>0.26786576249999994</v>
      </c>
      <c r="BS68" s="116">
        <v>0</v>
      </c>
      <c r="BT68" s="119">
        <f t="shared" si="175"/>
        <v>0.26786576249999994</v>
      </c>
      <c r="BU68" s="116">
        <v>0</v>
      </c>
      <c r="BV68" s="11"/>
      <c r="BW68" s="9">
        <f>IFERROR(GETPIVOTDATA("[Measures].[Suma de valor]",base!$A$3,"[IF].[departamento_jerarquia2]","[IF].[departamento_jerarquia2].&amp;["&amp;BW$5&amp;"]","[IF].[grupo_analisis]","[IF].[grupo_analisis].&amp;["&amp;$B68&amp;"]","[IF].[mes]","[IF].[mes].&amp;["&amp;BW$8&amp;"]","[IF].[ano]","[IF].[ano].&amp;["&amp;BW$7&amp;"]","[IF].[informacion]","[IF].[informacion].&amp;["&amp;BW$9&amp;"]"),0)</f>
        <v>6.9</v>
      </c>
      <c r="BX68" s="9">
        <f>IFERROR(GETPIVOTDATA("[Measures].[Suma de valor]",base!$A$3,"[IF].[departamento_jerarquia2]","[IF].[departamento_jerarquia2].&amp;["&amp;BX$5&amp;"]","[IF].[grupo_analisis]","[IF].[grupo_analisis].&amp;["&amp;$B68&amp;"]","[IF].[mes]","[IF].[mes].&amp;["&amp;BX$8&amp;"]","[IF].[ano]","[IF].[ano].&amp;["&amp;BX$7&amp;"]","[IF].[informacion]","[IF].[informacion].&amp;["&amp;BX$9&amp;"]"),0)</f>
        <v>4.0250000000000004</v>
      </c>
      <c r="BY68" s="9">
        <f t="shared" si="176"/>
        <v>2.875</v>
      </c>
      <c r="BZ68" s="9">
        <f>(IFERROR(GETPIVOTDATA("[Measures].[Suma de valor]",base!$A$3,"[IF].[departamento_jerarquia2]","[IF].[departamento_jerarquia2].&amp;["&amp;BZ$5&amp;"]","[IF].[grupo_analisis]","[IF].[grupo_analisis].&amp;["&amp;$B68&amp;"]","[IF].[mes]","[IF].[mes].&amp;["&amp;BZ$8&amp;"]","[IF].[ano]","[IF].[ano].&amp;["&amp;BZ$7&amp;"]","[IF].[informacion]","[IF].[informacion].&amp;["&amp;BZ$9&amp;"]"),0)*IF($B$2="Real",1,IF(BZ$8&lt;6,6/BZ$8,1)))*(1+CA68)</f>
        <v>3.2805923999999997</v>
      </c>
      <c r="CA68" s="116">
        <v>0</v>
      </c>
      <c r="CB68" s="12">
        <f t="shared" si="130"/>
        <v>2.875</v>
      </c>
      <c r="CC68" s="116">
        <v>0</v>
      </c>
      <c r="CD68" s="12">
        <f t="shared" si="154"/>
        <v>6.1555923999999997</v>
      </c>
      <c r="CE68" s="116">
        <v>0</v>
      </c>
      <c r="CF68" s="119">
        <f t="shared" si="177"/>
        <v>6.1555923999999997</v>
      </c>
      <c r="CG68" s="116">
        <v>0</v>
      </c>
      <c r="CH68" s="11"/>
      <c r="CI68" s="9"/>
      <c r="CJ68" s="9"/>
      <c r="CK68" s="9"/>
      <c r="CL68" s="9"/>
      <c r="CM68" s="116"/>
      <c r="CN68" s="12"/>
      <c r="CO68" s="116"/>
      <c r="CP68" s="12"/>
      <c r="CQ68" s="116"/>
      <c r="CR68" s="119"/>
      <c r="CS68" s="116"/>
      <c r="CT68" s="11"/>
      <c r="CU68" s="9"/>
      <c r="CV68" s="9"/>
      <c r="CW68" s="9"/>
      <c r="CX68" s="9"/>
      <c r="CY68" s="116"/>
      <c r="CZ68" s="12"/>
      <c r="DA68" s="116"/>
      <c r="DB68" s="12"/>
      <c r="DC68" s="116"/>
      <c r="DD68" s="119"/>
      <c r="DE68" s="116"/>
      <c r="DF68" s="11"/>
      <c r="DG68" s="9">
        <f t="shared" si="178"/>
        <v>14.261776784793131</v>
      </c>
      <c r="DH68" s="12">
        <f t="shared" si="179"/>
        <v>16.142467551732246</v>
      </c>
      <c r="DI68" s="119">
        <f t="shared" si="181"/>
        <v>16.142467551732246</v>
      </c>
      <c r="DK68" s="9">
        <f t="shared" si="186"/>
        <v>14.261776784793131</v>
      </c>
      <c r="DL68" s="12">
        <f t="shared" si="186"/>
        <v>16.142467551732246</v>
      </c>
      <c r="DM68" s="119">
        <f t="shared" si="186"/>
        <v>16.142467551732246</v>
      </c>
    </row>
    <row r="69" spans="1:117" x14ac:dyDescent="0.25">
      <c r="B69" t="s">
        <v>115</v>
      </c>
      <c r="C69" s="9">
        <f>IFERROR(GETPIVOTDATA("[Measures].[Suma de valor]",base!$A$3,"[IF].[departamento_jerarquia2]","[IF].[departamento_jerarquia2].&amp;["&amp;C$5&amp;"]","[IF].[grupo_analisis]","[IF].[grupo_analisis].&amp;["&amp;$B69&amp;"]","[IF].[mes]","[IF].[mes].&amp;["&amp;C$8&amp;"]","[IF].[ano]","[IF].[ano].&amp;["&amp;C$7&amp;"]","[IF].[informacion]","[IF].[informacion].&amp;["&amp;C$9&amp;"]"),0)</f>
        <v>0</v>
      </c>
      <c r="D69" s="9">
        <f>IFERROR(GETPIVOTDATA("[Measures].[Suma de valor]",base!$A$3,"[IF].[departamento_jerarquia2]","[IF].[departamento_jerarquia2].&amp;["&amp;D$5&amp;"]","[IF].[grupo_analisis]","[IF].[grupo_analisis].&amp;["&amp;$B69&amp;"]","[IF].[mes]","[IF].[mes].&amp;["&amp;D$8&amp;"]","[IF].[ano]","[IF].[ano].&amp;["&amp;D$7&amp;"]","[IF].[informacion]","[IF].[informacion].&amp;["&amp;D$9&amp;"]"),0)</f>
        <v>0</v>
      </c>
      <c r="E69" s="9">
        <f t="shared" si="165"/>
        <v>0</v>
      </c>
      <c r="F69" s="9">
        <f>(IFERROR(GETPIVOTDATA("[Measures].[Suma de valor]",base!$A$3,"[IF].[departamento_jerarquia2]","[IF].[departamento_jerarquia2].&amp;["&amp;F$5&amp;"]","[IF].[grupo_analisis]","[IF].[grupo_analisis].&amp;["&amp;$B69&amp;"]","[IF].[mes]","[IF].[mes].&amp;["&amp;F$8&amp;"]","[IF].[ano]","[IF].[ano].&amp;["&amp;F$7&amp;"]","[IF].[informacion]","[IF].[informacion].&amp;["&amp;F$9&amp;"]"),0)*IF($B$2="Real",1,IF(F$8&lt;6,6/F$8,1)))*(1+G69)</f>
        <v>0</v>
      </c>
      <c r="G69" s="116">
        <v>0</v>
      </c>
      <c r="H69" s="12">
        <f t="shared" si="110"/>
        <v>0</v>
      </c>
      <c r="I69" s="116">
        <v>0</v>
      </c>
      <c r="J69" s="12">
        <f t="shared" si="111"/>
        <v>0</v>
      </c>
      <c r="K69" s="116">
        <v>0</v>
      </c>
      <c r="L69" s="119">
        <f t="shared" si="166"/>
        <v>0</v>
      </c>
      <c r="M69" s="116">
        <v>0</v>
      </c>
      <c r="N69" s="11"/>
      <c r="O69" s="9">
        <f>IFERROR(GETPIVOTDATA("[Measures].[Suma de valor]",base!$A$3,"[IF].[departamento_jerarquia2]","[IF].[departamento_jerarquia2].&amp;["&amp;O$5&amp;"]","[IF].[grupo_analisis]","[IF].[grupo_analisis].&amp;["&amp;$B69&amp;"]","[IF].[mes]","[IF].[mes].&amp;["&amp;O$8&amp;"]","[IF].[ano]","[IF].[ano].&amp;["&amp;O$7&amp;"]","[IF].[informacion]","[IF].[informacion].&amp;["&amp;O$9&amp;"]"),0)-AA69</f>
        <v>0</v>
      </c>
      <c r="P69" s="9">
        <f>IFERROR(GETPIVOTDATA("[Measures].[Suma de valor]",base!$A$3,"[IF].[departamento_jerarquia2]","[IF].[departamento_jerarquia2].&amp;["&amp;P$5&amp;"]","[IF].[grupo_analisis]","[IF].[grupo_analisis].&amp;["&amp;$B69&amp;"]","[IF].[mes]","[IF].[mes].&amp;["&amp;P$8&amp;"]","[IF].[ano]","[IF].[ano].&amp;["&amp;P$7&amp;"]","[IF].[informacion]","[IF].[informacion].&amp;["&amp;P$9&amp;"]"),0)-AB69</f>
        <v>0</v>
      </c>
      <c r="Q69" s="9">
        <f t="shared" si="167"/>
        <v>0</v>
      </c>
      <c r="R69" s="9">
        <f>(IFERROR(GETPIVOTDATA("[Measures].[Suma de valor]",base!$A$3,"[IF].[departamento_jerarquia2]","[IF].[departamento_jerarquia2].&amp;["&amp;R$5&amp;"]","[IF].[grupo_analisis]","[IF].[grupo_analisis].&amp;["&amp;$B69&amp;"]","[IF].[mes]","[IF].[mes].&amp;["&amp;R$8&amp;"]","[IF].[ano]","[IF].[ano].&amp;["&amp;R$7&amp;"]","[IF].[informacion]","[IF].[informacion].&amp;["&amp;R$9&amp;"]"),0)*IF($B$2="Real",1,IF(R$8&lt;6,6/R$8,1))-AD69)*(1+S69)</f>
        <v>0</v>
      </c>
      <c r="S69" s="116">
        <v>0</v>
      </c>
      <c r="T69" s="12">
        <f t="shared" si="114"/>
        <v>0</v>
      </c>
      <c r="U69" s="116">
        <v>0</v>
      </c>
      <c r="V69" s="12">
        <f t="shared" si="140"/>
        <v>0</v>
      </c>
      <c r="W69" s="116">
        <v>0</v>
      </c>
      <c r="X69" s="119">
        <f t="shared" si="168"/>
        <v>0</v>
      </c>
      <c r="Y69" s="116">
        <v>0</v>
      </c>
      <c r="Z69" s="11"/>
      <c r="AA69" s="9">
        <f>IFERROR(GETPIVOTDATA("[Measures].[Suma de valor]",base!$AN$5,"[IF].[grupo_analisis]","[IF].[grupo_analisis].&amp;["&amp;$B69&amp;"]","[IF].[mes]","[IF].[mes].&amp;["&amp;AA$8&amp;"]","[IF].[ano]","[IF].[ano].&amp;["&amp;AA$7&amp;"]","[IF].[informacion]","[IF].[informacion].&amp;["&amp;AA$9&amp;"]"),0)</f>
        <v>0</v>
      </c>
      <c r="AB69" s="9">
        <f>IFERROR(GETPIVOTDATA("[Measures].[Suma de valor]",base!$AN$5,"[IF].[grupo_analisis]","[IF].[grupo_analisis].&amp;["&amp;$B69&amp;"]","[IF].[mes]","[IF].[mes].&amp;["&amp;AB$8&amp;"]","[IF].[ano]","[IF].[ano].&amp;["&amp;AB$7&amp;"]","[IF].[informacion]","[IF].[informacion].&amp;["&amp;AB$9&amp;"]"),0)</f>
        <v>0</v>
      </c>
      <c r="AC69" s="9">
        <f t="shared" si="169"/>
        <v>0</v>
      </c>
      <c r="AD69" s="9">
        <f>(IFERROR(GETPIVOTDATA("[Measures].[Suma de valor]",base!$AN$5,"[IF].[grupo_analisis]","[IF].[grupo_analisis].&amp;["&amp;$B69&amp;"]","[IF].[mes]","[IF].[mes].&amp;["&amp;AD$8&amp;"]","[IF].[ano]","[IF].[ano].&amp;["&amp;AD$7&amp;"]","[IF].[informacion]","[IF].[informacion].&amp;["&amp;AD$9&amp;"]"),0)*IF($B$2="Real",1,IF(AD$8&lt;6,6/AD$8,1)))*(1+S69)</f>
        <v>0</v>
      </c>
      <c r="AE69" s="116">
        <v>0</v>
      </c>
      <c r="AF69" s="12">
        <f t="shared" si="116"/>
        <v>0</v>
      </c>
      <c r="AG69" s="116">
        <v>0</v>
      </c>
      <c r="AH69" s="12">
        <f t="shared" si="144"/>
        <v>0</v>
      </c>
      <c r="AI69" s="116">
        <v>0</v>
      </c>
      <c r="AJ69" s="119">
        <f t="shared" si="180"/>
        <v>0</v>
      </c>
      <c r="AK69" s="116">
        <v>0</v>
      </c>
      <c r="AL69" s="11"/>
      <c r="AM69" s="9">
        <f>IFERROR(GETPIVOTDATA("[Measures].[Suma de valor]",base!$A$3,"[IF].[departamento_jerarquia2]","[IF].[departamento_jerarquia2].&amp;["&amp;AM$5&amp;"]","[IF].[grupo_analisis]","[IF].[grupo_analisis].&amp;["&amp;$B69&amp;"]","[IF].[mes]","[IF].[mes].&amp;["&amp;AM$8&amp;"]","[IF].[ano]","[IF].[ano].&amp;["&amp;AM$7&amp;"]","[IF].[informacion]","[IF].[informacion].&amp;["&amp;AM$9&amp;"]"),0)-BK69</f>
        <v>0</v>
      </c>
      <c r="AN69" s="9">
        <f>IFERROR(GETPIVOTDATA("[Measures].[Suma de valor]",base!$A$3,"[IF].[departamento_jerarquia2]","[IF].[departamento_jerarquia2].&amp;["&amp;AN$5&amp;"]","[IF].[grupo_analisis]","[IF].[grupo_analisis].&amp;["&amp;$B69&amp;"]","[IF].[mes]","[IF].[mes].&amp;["&amp;AN$8&amp;"]","[IF].[ano]","[IF].[ano].&amp;["&amp;AN$7&amp;"]","[IF].[informacion]","[IF].[informacion].&amp;["&amp;AN$9&amp;"]"),0)-BL69</f>
        <v>0</v>
      </c>
      <c r="AO69" s="9">
        <f t="shared" si="185"/>
        <v>0</v>
      </c>
      <c r="AP69" s="9">
        <v>0</v>
      </c>
      <c r="AQ69" s="116">
        <v>0</v>
      </c>
      <c r="AR69" s="12">
        <f t="shared" si="118"/>
        <v>0</v>
      </c>
      <c r="AS69" s="116">
        <v>0</v>
      </c>
      <c r="AT69" s="12">
        <f t="shared" si="119"/>
        <v>0</v>
      </c>
      <c r="AU69" s="116">
        <v>0</v>
      </c>
      <c r="AV69" s="119">
        <f t="shared" si="171"/>
        <v>0</v>
      </c>
      <c r="AW69" s="116">
        <v>0</v>
      </c>
      <c r="AX69" s="11"/>
      <c r="AY69" s="9">
        <f>IFERROR(GETPIVOTDATA("[Measures].[Suma de valor]",base!$A$3,"[IF].[departamento_jerarquia2]","[IF].[departamento_jerarquia2].&amp;["&amp;AY$5&amp;"]","[IF].[grupo_analisis]","[IF].[grupo_analisis].&amp;["&amp;$B69&amp;"]","[IF].[mes]","[IF].[mes].&amp;["&amp;AY$8&amp;"]","[IF].[ano]","[IF].[ano].&amp;["&amp;AY$7&amp;"]","[IF].[informacion]","[IF].[informacion].&amp;["&amp;AY$9&amp;"]"),0)</f>
        <v>0</v>
      </c>
      <c r="AZ69" s="9">
        <f>IFERROR(GETPIVOTDATA("[Measures].[Suma de valor]",base!$A$3,"[IF].[departamento_jerarquia2]","[IF].[departamento_jerarquia2].&amp;["&amp;AZ$5&amp;"]","[IF].[grupo_analisis]","[IF].[grupo_analisis].&amp;["&amp;$B69&amp;"]","[IF].[mes]","[IF].[mes].&amp;["&amp;AZ$8&amp;"]","[IF].[ano]","[IF].[ano].&amp;["&amp;AZ$7&amp;"]","[IF].[informacion]","[IF].[informacion].&amp;["&amp;AZ$9&amp;"]"),0)</f>
        <v>0</v>
      </c>
      <c r="BA69" s="9">
        <f t="shared" si="172"/>
        <v>0</v>
      </c>
      <c r="BB69" s="9">
        <f>(IFERROR(GETPIVOTDATA("[Measures].[Suma de valor]",base!$A$3,"[IF].[departamento_jerarquia2]","[IF].[departamento_jerarquia2].&amp;["&amp;BB$5&amp;"]","[IF].[grupo_analisis]","[IF].[grupo_analisis].&amp;["&amp;$B69&amp;"]","[IF].[mes]","[IF].[mes].&amp;["&amp;BB$8&amp;"]","[IF].[ano]","[IF].[ano].&amp;["&amp;BB$7&amp;"]","[IF].[informacion]","[IF].[informacion].&amp;["&amp;BB$9&amp;"]"),0)*IF($B$2="Real",1,IF(BB$8&lt;6,6/BB$8,1)))*(1+BC69)</f>
        <v>0</v>
      </c>
      <c r="BC69" s="116">
        <v>0</v>
      </c>
      <c r="BD69" s="12">
        <f t="shared" si="122"/>
        <v>0</v>
      </c>
      <c r="BE69" s="116">
        <v>0</v>
      </c>
      <c r="BF69" s="12">
        <f t="shared" si="123"/>
        <v>0</v>
      </c>
      <c r="BG69" s="116">
        <v>0</v>
      </c>
      <c r="BH69" s="119">
        <f t="shared" si="173"/>
        <v>0</v>
      </c>
      <c r="BI69" s="116">
        <v>0</v>
      </c>
      <c r="BJ69" s="11"/>
      <c r="BK69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69&amp;"]"),0)</f>
        <v>0</v>
      </c>
      <c r="BL69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69&amp;"]"),0)</f>
        <v>0</v>
      </c>
      <c r="BM69" s="9">
        <f t="shared" si="174"/>
        <v>0</v>
      </c>
      <c r="BN69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69&amp;"]"),0)*IF($B$2="Real",1,IF(BN$8&lt;6,6/BN$8,1)))*(1+BO69)</f>
        <v>0</v>
      </c>
      <c r="BO69" s="116">
        <v>0</v>
      </c>
      <c r="BP69" s="12">
        <f t="shared" si="126"/>
        <v>0</v>
      </c>
      <c r="BQ69" s="116">
        <v>0</v>
      </c>
      <c r="BR69" s="12">
        <f t="shared" si="127"/>
        <v>0</v>
      </c>
      <c r="BS69" s="116">
        <v>0</v>
      </c>
      <c r="BT69" s="119">
        <f t="shared" si="175"/>
        <v>0</v>
      </c>
      <c r="BU69" s="116">
        <v>0</v>
      </c>
      <c r="BV69" s="11"/>
      <c r="BW69" s="9">
        <f>IFERROR(GETPIVOTDATA("[Measures].[Suma de valor]",base!$A$3,"[IF].[departamento_jerarquia2]","[IF].[departamento_jerarquia2].&amp;["&amp;BW$5&amp;"]","[IF].[grupo_analisis]","[IF].[grupo_analisis].&amp;["&amp;$B69&amp;"]","[IF].[mes]","[IF].[mes].&amp;["&amp;BW$8&amp;"]","[IF].[ano]","[IF].[ano].&amp;["&amp;BW$7&amp;"]","[IF].[informacion]","[IF].[informacion].&amp;["&amp;BW$9&amp;"]"),0)</f>
        <v>0</v>
      </c>
      <c r="BX69" s="9">
        <f>IFERROR(GETPIVOTDATA("[Measures].[Suma de valor]",base!$A$3,"[IF].[departamento_jerarquia2]","[IF].[departamento_jerarquia2].&amp;["&amp;BX$5&amp;"]","[IF].[grupo_analisis]","[IF].[grupo_analisis].&amp;["&amp;$B69&amp;"]","[IF].[mes]","[IF].[mes].&amp;["&amp;BX$8&amp;"]","[IF].[ano]","[IF].[ano].&amp;["&amp;BX$7&amp;"]","[IF].[informacion]","[IF].[informacion].&amp;["&amp;BX$9&amp;"]"),0)</f>
        <v>0</v>
      </c>
      <c r="BY69" s="9">
        <f t="shared" si="176"/>
        <v>0</v>
      </c>
      <c r="BZ69" s="9">
        <f>(IFERROR(GETPIVOTDATA("[Measures].[Suma de valor]",base!$A$3,"[IF].[departamento_jerarquia2]","[IF].[departamento_jerarquia2].&amp;["&amp;BZ$5&amp;"]","[IF].[grupo_analisis]","[IF].[grupo_analisis].&amp;["&amp;$B69&amp;"]","[IF].[mes]","[IF].[mes].&amp;["&amp;BZ$8&amp;"]","[IF].[ano]","[IF].[ano].&amp;["&amp;BZ$7&amp;"]","[IF].[informacion]","[IF].[informacion].&amp;["&amp;BZ$9&amp;"]"),0)*IF($B$2="Real",1,IF(BZ$8&lt;6,6/BZ$8,1)))*(1+CA69)</f>
        <v>0</v>
      </c>
      <c r="CA69" s="116">
        <v>0</v>
      </c>
      <c r="CB69" s="12">
        <f t="shared" si="130"/>
        <v>0</v>
      </c>
      <c r="CC69" s="116">
        <v>0</v>
      </c>
      <c r="CD69" s="12">
        <f t="shared" si="154"/>
        <v>0</v>
      </c>
      <c r="CE69" s="116">
        <v>0</v>
      </c>
      <c r="CF69" s="119">
        <f t="shared" si="177"/>
        <v>0</v>
      </c>
      <c r="CG69" s="116">
        <v>0</v>
      </c>
      <c r="CH69" s="11"/>
      <c r="CI69" s="9"/>
      <c r="CJ69" s="9"/>
      <c r="CK69" s="9"/>
      <c r="CL69" s="9"/>
      <c r="CM69" s="116"/>
      <c r="CN69" s="12"/>
      <c r="CO69" s="116"/>
      <c r="CP69" s="12"/>
      <c r="CQ69" s="116"/>
      <c r="CR69" s="119"/>
      <c r="CS69" s="116"/>
      <c r="CT69" s="11"/>
      <c r="CU69" s="9"/>
      <c r="CV69" s="9"/>
      <c r="CW69" s="9"/>
      <c r="CX69" s="9"/>
      <c r="CY69" s="116"/>
      <c r="CZ69" s="12"/>
      <c r="DA69" s="116"/>
      <c r="DB69" s="12"/>
      <c r="DC69" s="116"/>
      <c r="DD69" s="119"/>
      <c r="DE69" s="116"/>
      <c r="DF69" s="11"/>
      <c r="DG69" s="9">
        <f t="shared" si="178"/>
        <v>0</v>
      </c>
      <c r="DH69" s="12">
        <f t="shared" si="179"/>
        <v>0</v>
      </c>
      <c r="DI69" s="119">
        <f t="shared" si="181"/>
        <v>0</v>
      </c>
      <c r="DK69" s="9">
        <f t="shared" si="186"/>
        <v>0</v>
      </c>
      <c r="DL69" s="12">
        <f t="shared" si="186"/>
        <v>0</v>
      </c>
      <c r="DM69" s="119">
        <f t="shared" si="186"/>
        <v>0</v>
      </c>
    </row>
    <row r="70" spans="1:117" x14ac:dyDescent="0.25">
      <c r="B70" t="s">
        <v>103</v>
      </c>
      <c r="C70" s="9">
        <f>IFERROR(GETPIVOTDATA("[Measures].[Suma de valor]",base!$A$3,"[IF].[departamento_jerarquia2]","[IF].[departamento_jerarquia2].&amp;["&amp;C$5&amp;"]","[IF].[grupo_analisis]","[IF].[grupo_analisis].&amp;["&amp;$B70&amp;"]","[IF].[mes]","[IF].[mes].&amp;["&amp;C$8&amp;"]","[IF].[ano]","[IF].[ano].&amp;["&amp;C$7&amp;"]","[IF].[informacion]","[IF].[informacion].&amp;["&amp;C$9&amp;"]"),0)</f>
        <v>0</v>
      </c>
      <c r="D70" s="9">
        <f>IFERROR(GETPIVOTDATA("[Measures].[Suma de valor]",base!$A$3,"[IF].[departamento_jerarquia2]","[IF].[departamento_jerarquia2].&amp;["&amp;D$5&amp;"]","[IF].[grupo_analisis]","[IF].[grupo_analisis].&amp;["&amp;$B70&amp;"]","[IF].[mes]","[IF].[mes].&amp;["&amp;D$8&amp;"]","[IF].[ano]","[IF].[ano].&amp;["&amp;D$7&amp;"]","[IF].[informacion]","[IF].[informacion].&amp;["&amp;D$9&amp;"]"),0)</f>
        <v>0</v>
      </c>
      <c r="E70" s="9">
        <f t="shared" si="165"/>
        <v>0</v>
      </c>
      <c r="F70" s="9">
        <f>(IFERROR(GETPIVOTDATA("[Measures].[Suma de valor]",base!$A$3,"[IF].[departamento_jerarquia2]","[IF].[departamento_jerarquia2].&amp;["&amp;F$5&amp;"]","[IF].[grupo_analisis]","[IF].[grupo_analisis].&amp;["&amp;$B70&amp;"]","[IF].[mes]","[IF].[mes].&amp;["&amp;F$8&amp;"]","[IF].[ano]","[IF].[ano].&amp;["&amp;F$7&amp;"]","[IF].[informacion]","[IF].[informacion].&amp;["&amp;F$9&amp;"]"),0)*IF($B$2="Real",1,IF(F$8&lt;6,6/F$8,1)))*(1+G70)</f>
        <v>0</v>
      </c>
      <c r="G70" s="116">
        <v>0</v>
      </c>
      <c r="H70" s="12">
        <f t="shared" si="110"/>
        <v>0</v>
      </c>
      <c r="I70" s="116">
        <v>0</v>
      </c>
      <c r="J70" s="12">
        <f t="shared" si="111"/>
        <v>0</v>
      </c>
      <c r="K70" s="116">
        <v>0</v>
      </c>
      <c r="L70" s="119">
        <f t="shared" si="166"/>
        <v>0</v>
      </c>
      <c r="M70" s="116">
        <v>0</v>
      </c>
      <c r="N70" s="11"/>
      <c r="O70" s="9">
        <f>IFERROR(GETPIVOTDATA("[Measures].[Suma de valor]",base!$A$3,"[IF].[departamento_jerarquia2]","[IF].[departamento_jerarquia2].&amp;["&amp;O$5&amp;"]","[IF].[grupo_analisis]","[IF].[grupo_analisis].&amp;["&amp;$B70&amp;"]","[IF].[mes]","[IF].[mes].&amp;["&amp;O$8&amp;"]","[IF].[ano]","[IF].[ano].&amp;["&amp;O$7&amp;"]","[IF].[informacion]","[IF].[informacion].&amp;["&amp;O$9&amp;"]"),0)-AA70</f>
        <v>0</v>
      </c>
      <c r="P70" s="9">
        <f>IFERROR(GETPIVOTDATA("[Measures].[Suma de valor]",base!$A$3,"[IF].[departamento_jerarquia2]","[IF].[departamento_jerarquia2].&amp;["&amp;P$5&amp;"]","[IF].[grupo_analisis]","[IF].[grupo_analisis].&amp;["&amp;$B70&amp;"]","[IF].[mes]","[IF].[mes].&amp;["&amp;P$8&amp;"]","[IF].[ano]","[IF].[ano].&amp;["&amp;P$7&amp;"]","[IF].[informacion]","[IF].[informacion].&amp;["&amp;P$9&amp;"]"),0)-AB70</f>
        <v>0</v>
      </c>
      <c r="Q70" s="9">
        <f t="shared" si="167"/>
        <v>0</v>
      </c>
      <c r="R70" s="9">
        <f>(IFERROR(GETPIVOTDATA("[Measures].[Suma de valor]",base!$A$3,"[IF].[departamento_jerarquia2]","[IF].[departamento_jerarquia2].&amp;["&amp;R$5&amp;"]","[IF].[grupo_analisis]","[IF].[grupo_analisis].&amp;["&amp;$B70&amp;"]","[IF].[mes]","[IF].[mes].&amp;["&amp;R$8&amp;"]","[IF].[ano]","[IF].[ano].&amp;["&amp;R$7&amp;"]","[IF].[informacion]","[IF].[informacion].&amp;["&amp;R$9&amp;"]"),0)*IF($B$2="Real",1,IF(R$8&lt;6,6/R$8,1))-AD70)*(1+S70)</f>
        <v>0</v>
      </c>
      <c r="S70" s="116">
        <v>0</v>
      </c>
      <c r="T70" s="12">
        <f t="shared" si="114"/>
        <v>0</v>
      </c>
      <c r="U70" s="116">
        <v>0</v>
      </c>
      <c r="V70" s="12">
        <f t="shared" si="140"/>
        <v>0</v>
      </c>
      <c r="W70" s="116">
        <v>0</v>
      </c>
      <c r="X70" s="119">
        <f t="shared" si="168"/>
        <v>0</v>
      </c>
      <c r="Y70" s="116">
        <v>0</v>
      </c>
      <c r="Z70" s="11"/>
      <c r="AA70" s="9">
        <f>IFERROR(GETPIVOTDATA("[Measures].[Suma de valor]",base!$AN$5,"[IF].[grupo_analisis]","[IF].[grupo_analisis].&amp;["&amp;$B70&amp;"]","[IF].[mes]","[IF].[mes].&amp;["&amp;AA$8&amp;"]","[IF].[ano]","[IF].[ano].&amp;["&amp;AA$7&amp;"]","[IF].[informacion]","[IF].[informacion].&amp;["&amp;AA$9&amp;"]"),0)</f>
        <v>0</v>
      </c>
      <c r="AB70" s="9">
        <f>IFERROR(GETPIVOTDATA("[Measures].[Suma de valor]",base!$AN$5,"[IF].[grupo_analisis]","[IF].[grupo_analisis].&amp;["&amp;$B70&amp;"]","[IF].[mes]","[IF].[mes].&amp;["&amp;AB$8&amp;"]","[IF].[ano]","[IF].[ano].&amp;["&amp;AB$7&amp;"]","[IF].[informacion]","[IF].[informacion].&amp;["&amp;AB$9&amp;"]"),0)</f>
        <v>0</v>
      </c>
      <c r="AC70" s="9">
        <f t="shared" si="169"/>
        <v>0</v>
      </c>
      <c r="AD70" s="9">
        <f>(IFERROR(GETPIVOTDATA("[Measures].[Suma de valor]",base!$AN$5,"[IF].[grupo_analisis]","[IF].[grupo_analisis].&amp;["&amp;$B70&amp;"]","[IF].[mes]","[IF].[mes].&amp;["&amp;AD$8&amp;"]","[IF].[ano]","[IF].[ano].&amp;["&amp;AD$7&amp;"]","[IF].[informacion]","[IF].[informacion].&amp;["&amp;AD$9&amp;"]"),0)*IF($B$2="Real",1,IF(AD$8&lt;6,6/AD$8,1)))*(1+S70)</f>
        <v>0</v>
      </c>
      <c r="AE70" s="116">
        <v>0</v>
      </c>
      <c r="AF70" s="12">
        <f t="shared" si="116"/>
        <v>0</v>
      </c>
      <c r="AG70" s="116">
        <v>0</v>
      </c>
      <c r="AH70" s="12">
        <f t="shared" si="144"/>
        <v>0</v>
      </c>
      <c r="AI70" s="116">
        <v>0</v>
      </c>
      <c r="AJ70" s="119">
        <f t="shared" si="180"/>
        <v>0</v>
      </c>
      <c r="AK70" s="116">
        <v>0</v>
      </c>
      <c r="AL70" s="11"/>
      <c r="AM70" s="9">
        <f>IFERROR(GETPIVOTDATA("[Measures].[Suma de valor]",base!$A$3,"[IF].[departamento_jerarquia2]","[IF].[departamento_jerarquia2].&amp;["&amp;AM$5&amp;"]","[IF].[grupo_analisis]","[IF].[grupo_analisis].&amp;["&amp;$B70&amp;"]","[IF].[mes]","[IF].[mes].&amp;["&amp;AM$8&amp;"]","[IF].[ano]","[IF].[ano].&amp;["&amp;AM$7&amp;"]","[IF].[informacion]","[IF].[informacion].&amp;["&amp;AM$9&amp;"]"),0)-BK70</f>
        <v>0</v>
      </c>
      <c r="AN70" s="9">
        <f>IFERROR(GETPIVOTDATA("[Measures].[Suma de valor]",base!$A$3,"[IF].[departamento_jerarquia2]","[IF].[departamento_jerarquia2].&amp;["&amp;AN$5&amp;"]","[IF].[grupo_analisis]","[IF].[grupo_analisis].&amp;["&amp;$B70&amp;"]","[IF].[mes]","[IF].[mes].&amp;["&amp;AN$8&amp;"]","[IF].[ano]","[IF].[ano].&amp;["&amp;AN$7&amp;"]","[IF].[informacion]","[IF].[informacion].&amp;["&amp;AN$9&amp;"]"),0)-BL70</f>
        <v>0</v>
      </c>
      <c r="AO70" s="9">
        <f t="shared" si="185"/>
        <v>0</v>
      </c>
      <c r="AP70" s="9">
        <v>0</v>
      </c>
      <c r="AQ70" s="116">
        <v>0</v>
      </c>
      <c r="AR70" s="12">
        <f t="shared" si="118"/>
        <v>0</v>
      </c>
      <c r="AS70" s="116">
        <v>0</v>
      </c>
      <c r="AT70" s="12">
        <f t="shared" si="119"/>
        <v>0</v>
      </c>
      <c r="AU70" s="116">
        <v>0</v>
      </c>
      <c r="AV70" s="119">
        <f t="shared" si="171"/>
        <v>0</v>
      </c>
      <c r="AW70" s="116">
        <v>0</v>
      </c>
      <c r="AX70" s="11"/>
      <c r="AY70" s="9">
        <f>IFERROR(GETPIVOTDATA("[Measures].[Suma de valor]",base!$A$3,"[IF].[departamento_jerarquia2]","[IF].[departamento_jerarquia2].&amp;["&amp;AY$5&amp;"]","[IF].[grupo_analisis]","[IF].[grupo_analisis].&amp;["&amp;$B70&amp;"]","[IF].[mes]","[IF].[mes].&amp;["&amp;AY$8&amp;"]","[IF].[ano]","[IF].[ano].&amp;["&amp;AY$7&amp;"]","[IF].[informacion]","[IF].[informacion].&amp;["&amp;AY$9&amp;"]"),0)</f>
        <v>0</v>
      </c>
      <c r="AZ70" s="9">
        <f>IFERROR(GETPIVOTDATA("[Measures].[Suma de valor]",base!$A$3,"[IF].[departamento_jerarquia2]","[IF].[departamento_jerarquia2].&amp;["&amp;AZ$5&amp;"]","[IF].[grupo_analisis]","[IF].[grupo_analisis].&amp;["&amp;$B70&amp;"]","[IF].[mes]","[IF].[mes].&amp;["&amp;AZ$8&amp;"]","[IF].[ano]","[IF].[ano].&amp;["&amp;AZ$7&amp;"]","[IF].[informacion]","[IF].[informacion].&amp;["&amp;AZ$9&amp;"]"),0)</f>
        <v>0</v>
      </c>
      <c r="BA70" s="9">
        <f t="shared" si="172"/>
        <v>0</v>
      </c>
      <c r="BB70" s="9">
        <f>(IFERROR(GETPIVOTDATA("[Measures].[Suma de valor]",base!$A$3,"[IF].[departamento_jerarquia2]","[IF].[departamento_jerarquia2].&amp;["&amp;BB$5&amp;"]","[IF].[grupo_analisis]","[IF].[grupo_analisis].&amp;["&amp;$B70&amp;"]","[IF].[mes]","[IF].[mes].&amp;["&amp;BB$8&amp;"]","[IF].[ano]","[IF].[ano].&amp;["&amp;BB$7&amp;"]","[IF].[informacion]","[IF].[informacion].&amp;["&amp;BB$9&amp;"]"),0)*IF($B$2="Real",1,IF(BB$8&lt;6,6/BB$8,1)))*(1+BC70)</f>
        <v>0</v>
      </c>
      <c r="BC70" s="116">
        <v>0</v>
      </c>
      <c r="BD70" s="12">
        <f t="shared" si="122"/>
        <v>0</v>
      </c>
      <c r="BE70" s="116">
        <v>0</v>
      </c>
      <c r="BF70" s="12">
        <f t="shared" si="123"/>
        <v>0</v>
      </c>
      <c r="BG70" s="116">
        <v>0</v>
      </c>
      <c r="BH70" s="119">
        <f t="shared" si="173"/>
        <v>0</v>
      </c>
      <c r="BI70" s="116">
        <v>0</v>
      </c>
      <c r="BJ70" s="11"/>
      <c r="BK70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70&amp;"]"),0)</f>
        <v>0</v>
      </c>
      <c r="BL70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70&amp;"]"),0)</f>
        <v>0</v>
      </c>
      <c r="BM70" s="9">
        <f t="shared" si="174"/>
        <v>0</v>
      </c>
      <c r="BN70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70&amp;"]"),0)*IF($B$2="Real",1,IF(BN$8&lt;6,6/BN$8,1)))*(1+BO70)</f>
        <v>0</v>
      </c>
      <c r="BO70" s="116">
        <v>0</v>
      </c>
      <c r="BP70" s="12">
        <f t="shared" si="126"/>
        <v>0</v>
      </c>
      <c r="BQ70" s="116">
        <v>0</v>
      </c>
      <c r="BR70" s="12">
        <f t="shared" si="127"/>
        <v>0</v>
      </c>
      <c r="BS70" s="116">
        <v>0</v>
      </c>
      <c r="BT70" s="119">
        <f t="shared" si="175"/>
        <v>0</v>
      </c>
      <c r="BU70" s="116">
        <v>0</v>
      </c>
      <c r="BV70" s="11"/>
      <c r="BW70" s="9">
        <f>IFERROR(GETPIVOTDATA("[Measures].[Suma de valor]",base!$A$3,"[IF].[departamento_jerarquia2]","[IF].[departamento_jerarquia2].&amp;["&amp;BW$5&amp;"]","[IF].[grupo_analisis]","[IF].[grupo_analisis].&amp;["&amp;$B70&amp;"]","[IF].[mes]","[IF].[mes].&amp;["&amp;BW$8&amp;"]","[IF].[ano]","[IF].[ano].&amp;["&amp;BW$7&amp;"]","[IF].[informacion]","[IF].[informacion].&amp;["&amp;BW$9&amp;"]"),0)</f>
        <v>0</v>
      </c>
      <c r="BX70" s="9">
        <f>IFERROR(GETPIVOTDATA("[Measures].[Suma de valor]",base!$A$3,"[IF].[departamento_jerarquia2]","[IF].[departamento_jerarquia2].&amp;["&amp;BX$5&amp;"]","[IF].[grupo_analisis]","[IF].[grupo_analisis].&amp;["&amp;$B70&amp;"]","[IF].[mes]","[IF].[mes].&amp;["&amp;BX$8&amp;"]","[IF].[ano]","[IF].[ano].&amp;["&amp;BX$7&amp;"]","[IF].[informacion]","[IF].[informacion].&amp;["&amp;BX$9&amp;"]"),0)</f>
        <v>0</v>
      </c>
      <c r="BY70" s="9">
        <f t="shared" si="176"/>
        <v>0</v>
      </c>
      <c r="BZ70" s="9">
        <f>(IFERROR(GETPIVOTDATA("[Measures].[Suma de valor]",base!$A$3,"[IF].[departamento_jerarquia2]","[IF].[departamento_jerarquia2].&amp;["&amp;BZ$5&amp;"]","[IF].[grupo_analisis]","[IF].[grupo_analisis].&amp;["&amp;$B70&amp;"]","[IF].[mes]","[IF].[mes].&amp;["&amp;BZ$8&amp;"]","[IF].[ano]","[IF].[ano].&amp;["&amp;BZ$7&amp;"]","[IF].[informacion]","[IF].[informacion].&amp;["&amp;BZ$9&amp;"]"),0)*IF($B$2="Real",1,IF(BZ$8&lt;6,6/BZ$8,1)))*(1+CA70)</f>
        <v>0.13327992</v>
      </c>
      <c r="CA70" s="116">
        <v>0</v>
      </c>
      <c r="CB70" s="12">
        <f t="shared" si="130"/>
        <v>0</v>
      </c>
      <c r="CC70" s="116">
        <v>0</v>
      </c>
      <c r="CD70" s="12">
        <f t="shared" si="154"/>
        <v>0.13327992</v>
      </c>
      <c r="CE70" s="116">
        <v>0</v>
      </c>
      <c r="CF70" s="119">
        <f t="shared" si="177"/>
        <v>0.13327992</v>
      </c>
      <c r="CG70" s="116">
        <v>0</v>
      </c>
      <c r="CH70" s="11"/>
      <c r="CI70" s="9"/>
      <c r="CJ70" s="9"/>
      <c r="CK70" s="9"/>
      <c r="CL70" s="9"/>
      <c r="CM70" s="116"/>
      <c r="CN70" s="12"/>
      <c r="CO70" s="116"/>
      <c r="CP70" s="12"/>
      <c r="CQ70" s="116"/>
      <c r="CR70" s="119"/>
      <c r="CS70" s="116"/>
      <c r="CT70" s="11"/>
      <c r="CU70" s="9"/>
      <c r="CV70" s="9"/>
      <c r="CW70" s="9"/>
      <c r="CX70" s="9"/>
      <c r="CY70" s="116"/>
      <c r="CZ70" s="12"/>
      <c r="DA70" s="116"/>
      <c r="DB70" s="12"/>
      <c r="DC70" s="116"/>
      <c r="DD70" s="119"/>
      <c r="DE70" s="116"/>
      <c r="DF70" s="11"/>
      <c r="DG70" s="9">
        <f t="shared" si="178"/>
        <v>0</v>
      </c>
      <c r="DH70" s="12">
        <f t="shared" si="179"/>
        <v>0.13327992</v>
      </c>
      <c r="DI70" s="119">
        <f t="shared" si="181"/>
        <v>0.13327992</v>
      </c>
      <c r="DK70" s="9">
        <f t="shared" si="186"/>
        <v>0</v>
      </c>
      <c r="DL70" s="12">
        <f t="shared" si="186"/>
        <v>0.13327992</v>
      </c>
      <c r="DM70" s="119">
        <f t="shared" si="186"/>
        <v>0.13327992</v>
      </c>
    </row>
    <row r="71" spans="1:117" x14ac:dyDescent="0.25">
      <c r="B71" t="s">
        <v>206</v>
      </c>
      <c r="C71" s="9">
        <f>IFERROR(GETPIVOTDATA("[Measures].[Suma de valor]",base!$A$3,"[IF].[departamento_jerarquia2]","[IF].[departamento_jerarquia2].&amp;["&amp;C$5&amp;"]","[IF].[grupo_analisis]","[IF].[grupo_analisis].&amp;["&amp;$B71&amp;"]","[IF].[mes]","[IF].[mes].&amp;["&amp;C$8&amp;"]","[IF].[ano]","[IF].[ano].&amp;["&amp;C$7&amp;"]","[IF].[informacion]","[IF].[informacion].&amp;["&amp;C$9&amp;"]"),0)</f>
        <v>0</v>
      </c>
      <c r="D71" s="9">
        <f>IFERROR(GETPIVOTDATA("[Measures].[Suma de valor]",base!$A$3,"[IF].[departamento_jerarquia2]","[IF].[departamento_jerarquia2].&amp;["&amp;D$5&amp;"]","[IF].[grupo_analisis]","[IF].[grupo_analisis].&amp;["&amp;$B71&amp;"]","[IF].[mes]","[IF].[mes].&amp;["&amp;D$8&amp;"]","[IF].[ano]","[IF].[ano].&amp;["&amp;D$7&amp;"]","[IF].[informacion]","[IF].[informacion].&amp;["&amp;D$9&amp;"]"),0)</f>
        <v>0</v>
      </c>
      <c r="E71" s="9">
        <f t="shared" si="165"/>
        <v>0</v>
      </c>
      <c r="F71" s="9">
        <f>(IFERROR(GETPIVOTDATA("[Measures].[Suma de valor]",base!$A$3,"[IF].[departamento_jerarquia2]","[IF].[departamento_jerarquia2].&amp;["&amp;F$5&amp;"]","[IF].[grupo_analisis]","[IF].[grupo_analisis].&amp;["&amp;$B71&amp;"]","[IF].[mes]","[IF].[mes].&amp;["&amp;F$8&amp;"]","[IF].[ano]","[IF].[ano].&amp;["&amp;F$7&amp;"]","[IF].[informacion]","[IF].[informacion].&amp;["&amp;F$9&amp;"]"),0)*IF($B$2="Real",1,IF(F$8&lt;6,6/F$8,1)))*(1+G71)</f>
        <v>0</v>
      </c>
      <c r="G71" s="116">
        <v>0</v>
      </c>
      <c r="H71" s="12">
        <f t="shared" si="110"/>
        <v>0</v>
      </c>
      <c r="I71" s="116">
        <v>0</v>
      </c>
      <c r="J71" s="12">
        <f t="shared" si="111"/>
        <v>0</v>
      </c>
      <c r="K71" s="116">
        <v>0</v>
      </c>
      <c r="L71" s="119">
        <f t="shared" si="166"/>
        <v>0</v>
      </c>
      <c r="M71" s="116">
        <v>0</v>
      </c>
      <c r="N71" s="11"/>
      <c r="O71" s="9">
        <f>IFERROR(GETPIVOTDATA("[Measures].[Suma de valor]",base!$A$3,"[IF].[departamento_jerarquia2]","[IF].[departamento_jerarquia2].&amp;["&amp;O$5&amp;"]","[IF].[grupo_analisis]","[IF].[grupo_analisis].&amp;["&amp;$B71&amp;"]","[IF].[mes]","[IF].[mes].&amp;["&amp;O$8&amp;"]","[IF].[ano]","[IF].[ano].&amp;["&amp;O$7&amp;"]","[IF].[informacion]","[IF].[informacion].&amp;["&amp;O$9&amp;"]"),0)-AA71</f>
        <v>0</v>
      </c>
      <c r="P71" s="9">
        <f>IFERROR(GETPIVOTDATA("[Measures].[Suma de valor]",base!$A$3,"[IF].[departamento_jerarquia2]","[IF].[departamento_jerarquia2].&amp;["&amp;P$5&amp;"]","[IF].[grupo_analisis]","[IF].[grupo_analisis].&amp;["&amp;$B71&amp;"]","[IF].[mes]","[IF].[mes].&amp;["&amp;P$8&amp;"]","[IF].[ano]","[IF].[ano].&amp;["&amp;P$7&amp;"]","[IF].[informacion]","[IF].[informacion].&amp;["&amp;P$9&amp;"]"),0)-AB71</f>
        <v>0</v>
      </c>
      <c r="Q71" s="9">
        <f t="shared" si="167"/>
        <v>0</v>
      </c>
      <c r="R71" s="9">
        <f>(IFERROR(GETPIVOTDATA("[Measures].[Suma de valor]",base!$A$3,"[IF].[departamento_jerarquia2]","[IF].[departamento_jerarquia2].&amp;["&amp;R$5&amp;"]","[IF].[grupo_analisis]","[IF].[grupo_analisis].&amp;["&amp;$B71&amp;"]","[IF].[mes]","[IF].[mes].&amp;["&amp;R$8&amp;"]","[IF].[ano]","[IF].[ano].&amp;["&amp;R$7&amp;"]","[IF].[informacion]","[IF].[informacion].&amp;["&amp;R$9&amp;"]"),0)*IF($B$2="Real",1,IF(R$8&lt;6,6/R$8,1))-AD71)*(1+S71)</f>
        <v>0</v>
      </c>
      <c r="S71" s="116">
        <v>0</v>
      </c>
      <c r="T71" s="12">
        <f t="shared" si="114"/>
        <v>0</v>
      </c>
      <c r="U71" s="116">
        <v>0</v>
      </c>
      <c r="V71" s="12">
        <f t="shared" si="140"/>
        <v>0</v>
      </c>
      <c r="W71" s="116">
        <v>0</v>
      </c>
      <c r="X71" s="119">
        <f t="shared" si="168"/>
        <v>0</v>
      </c>
      <c r="Y71" s="116">
        <v>0</v>
      </c>
      <c r="Z71" s="11"/>
      <c r="AA71" s="9">
        <f>IFERROR(GETPIVOTDATA("[Measures].[Suma de valor]",base!$AN$5,"[IF].[grupo_analisis]","[IF].[grupo_analisis].&amp;["&amp;$B71&amp;"]","[IF].[mes]","[IF].[mes].&amp;["&amp;AA$8&amp;"]","[IF].[ano]","[IF].[ano].&amp;["&amp;AA$7&amp;"]","[IF].[informacion]","[IF].[informacion].&amp;["&amp;AA$9&amp;"]"),0)</f>
        <v>0</v>
      </c>
      <c r="AB71" s="9">
        <f>IFERROR(GETPIVOTDATA("[Measures].[Suma de valor]",base!$AN$5,"[IF].[grupo_analisis]","[IF].[grupo_analisis].&amp;["&amp;$B71&amp;"]","[IF].[mes]","[IF].[mes].&amp;["&amp;AB$8&amp;"]","[IF].[ano]","[IF].[ano].&amp;["&amp;AB$7&amp;"]","[IF].[informacion]","[IF].[informacion].&amp;["&amp;AB$9&amp;"]"),0)</f>
        <v>0</v>
      </c>
      <c r="AC71" s="9">
        <f t="shared" si="169"/>
        <v>0</v>
      </c>
      <c r="AD71" s="9">
        <f>(IFERROR(GETPIVOTDATA("[Measures].[Suma de valor]",base!$AN$5,"[IF].[grupo_analisis]","[IF].[grupo_analisis].&amp;["&amp;$B71&amp;"]","[IF].[mes]","[IF].[mes].&amp;["&amp;AD$8&amp;"]","[IF].[ano]","[IF].[ano].&amp;["&amp;AD$7&amp;"]","[IF].[informacion]","[IF].[informacion].&amp;["&amp;AD$9&amp;"]"),0)*IF($B$2="Real",1,IF(AD$8&lt;6,6/AD$8,1)))*(1+S71)</f>
        <v>0</v>
      </c>
      <c r="AE71" s="116">
        <v>0</v>
      </c>
      <c r="AF71" s="12">
        <f t="shared" si="116"/>
        <v>0</v>
      </c>
      <c r="AG71" s="116">
        <v>0</v>
      </c>
      <c r="AH71" s="12">
        <f t="shared" si="144"/>
        <v>0</v>
      </c>
      <c r="AI71" s="116">
        <v>0</v>
      </c>
      <c r="AJ71" s="119">
        <f t="shared" si="180"/>
        <v>0</v>
      </c>
      <c r="AK71" s="116">
        <v>0</v>
      </c>
      <c r="AL71" s="11"/>
      <c r="AM71" s="9">
        <f>IFERROR(GETPIVOTDATA("[Measures].[Suma de valor]",base!$A$3,"[IF].[departamento_jerarquia2]","[IF].[departamento_jerarquia2].&amp;["&amp;AM$5&amp;"]","[IF].[grupo_analisis]","[IF].[grupo_analisis].&amp;["&amp;$B71&amp;"]","[IF].[mes]","[IF].[mes].&amp;["&amp;AM$8&amp;"]","[IF].[ano]","[IF].[ano].&amp;["&amp;AM$7&amp;"]","[IF].[informacion]","[IF].[informacion].&amp;["&amp;AM$9&amp;"]"),0)-BK71</f>
        <v>0</v>
      </c>
      <c r="AN71" s="9">
        <f>IFERROR(GETPIVOTDATA("[Measures].[Suma de valor]",base!$A$3,"[IF].[departamento_jerarquia2]","[IF].[departamento_jerarquia2].&amp;["&amp;AN$5&amp;"]","[IF].[grupo_analisis]","[IF].[grupo_analisis].&amp;["&amp;$B71&amp;"]","[IF].[mes]","[IF].[mes].&amp;["&amp;AN$8&amp;"]","[IF].[ano]","[IF].[ano].&amp;["&amp;AN$7&amp;"]","[IF].[informacion]","[IF].[informacion].&amp;["&amp;AN$9&amp;"]"),0)-BL71</f>
        <v>0</v>
      </c>
      <c r="AO71" s="9">
        <f t="shared" si="185"/>
        <v>0</v>
      </c>
      <c r="AP71" s="9">
        <v>0</v>
      </c>
      <c r="AQ71" s="116">
        <v>0</v>
      </c>
      <c r="AR71" s="12">
        <f t="shared" si="118"/>
        <v>0</v>
      </c>
      <c r="AS71" s="116">
        <v>0</v>
      </c>
      <c r="AT71" s="12">
        <f t="shared" si="119"/>
        <v>0</v>
      </c>
      <c r="AU71" s="116">
        <v>0</v>
      </c>
      <c r="AV71" s="119">
        <f t="shared" si="171"/>
        <v>0</v>
      </c>
      <c r="AW71" s="116">
        <v>0</v>
      </c>
      <c r="AX71" s="11"/>
      <c r="AY71" s="9">
        <f>IFERROR(GETPIVOTDATA("[Measures].[Suma de valor]",base!$A$3,"[IF].[departamento_jerarquia2]","[IF].[departamento_jerarquia2].&amp;["&amp;AY$5&amp;"]","[IF].[grupo_analisis]","[IF].[grupo_analisis].&amp;["&amp;$B71&amp;"]","[IF].[mes]","[IF].[mes].&amp;["&amp;AY$8&amp;"]","[IF].[ano]","[IF].[ano].&amp;["&amp;AY$7&amp;"]","[IF].[informacion]","[IF].[informacion].&amp;["&amp;AY$9&amp;"]"),0)</f>
        <v>0</v>
      </c>
      <c r="AZ71" s="9">
        <f>IFERROR(GETPIVOTDATA("[Measures].[Suma de valor]",base!$A$3,"[IF].[departamento_jerarquia2]","[IF].[departamento_jerarquia2].&amp;["&amp;AZ$5&amp;"]","[IF].[grupo_analisis]","[IF].[grupo_analisis].&amp;["&amp;$B71&amp;"]","[IF].[mes]","[IF].[mes].&amp;["&amp;AZ$8&amp;"]","[IF].[ano]","[IF].[ano].&amp;["&amp;AZ$7&amp;"]","[IF].[informacion]","[IF].[informacion].&amp;["&amp;AZ$9&amp;"]"),0)</f>
        <v>0</v>
      </c>
      <c r="BA71" s="9">
        <f t="shared" si="172"/>
        <v>0</v>
      </c>
      <c r="BB71" s="9">
        <f>(IFERROR(GETPIVOTDATA("[Measures].[Suma de valor]",base!$A$3,"[IF].[departamento_jerarquia2]","[IF].[departamento_jerarquia2].&amp;["&amp;BB$5&amp;"]","[IF].[grupo_analisis]","[IF].[grupo_analisis].&amp;["&amp;$B71&amp;"]","[IF].[mes]","[IF].[mes].&amp;["&amp;BB$8&amp;"]","[IF].[ano]","[IF].[ano].&amp;["&amp;BB$7&amp;"]","[IF].[informacion]","[IF].[informacion].&amp;["&amp;BB$9&amp;"]"),0)*IF($B$2="Real",1,IF(BB$8&lt;6,6/BB$8,1)))*(1+BC71)</f>
        <v>0</v>
      </c>
      <c r="BC71" s="116">
        <v>0</v>
      </c>
      <c r="BD71" s="12">
        <f t="shared" si="122"/>
        <v>0</v>
      </c>
      <c r="BE71" s="116">
        <v>0</v>
      </c>
      <c r="BF71" s="12">
        <f t="shared" si="123"/>
        <v>0</v>
      </c>
      <c r="BG71" s="116">
        <v>0</v>
      </c>
      <c r="BH71" s="119">
        <f t="shared" si="173"/>
        <v>0</v>
      </c>
      <c r="BI71" s="116">
        <v>0</v>
      </c>
      <c r="BJ71" s="11"/>
      <c r="BK71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71&amp;"]"),0)</f>
        <v>0</v>
      </c>
      <c r="BL71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71&amp;"]"),0)</f>
        <v>0</v>
      </c>
      <c r="BM71" s="9">
        <f t="shared" si="174"/>
        <v>0</v>
      </c>
      <c r="BN71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71&amp;"]"),0)*IF($B$2="Real",1,IF(BN$8&lt;6,6/BN$8,1)))*(1+BO71)</f>
        <v>0</v>
      </c>
      <c r="BO71" s="116">
        <v>0</v>
      </c>
      <c r="BP71" s="12">
        <f t="shared" si="126"/>
        <v>0</v>
      </c>
      <c r="BQ71" s="116">
        <v>0</v>
      </c>
      <c r="BR71" s="12">
        <f t="shared" si="127"/>
        <v>0</v>
      </c>
      <c r="BS71" s="116">
        <v>0</v>
      </c>
      <c r="BT71" s="119">
        <f t="shared" si="175"/>
        <v>0</v>
      </c>
      <c r="BU71" s="116">
        <v>0</v>
      </c>
      <c r="BV71" s="11"/>
      <c r="BW71" s="9">
        <f>IFERROR(GETPIVOTDATA("[Measures].[Suma de valor]",base!$A$3,"[IF].[departamento_jerarquia2]","[IF].[departamento_jerarquia2].&amp;["&amp;BW$5&amp;"]","[IF].[grupo_analisis]","[IF].[grupo_analisis].&amp;["&amp;$B71&amp;"]","[IF].[mes]","[IF].[mes].&amp;["&amp;BW$8&amp;"]","[IF].[ano]","[IF].[ano].&amp;["&amp;BW$7&amp;"]","[IF].[informacion]","[IF].[informacion].&amp;["&amp;BW$9&amp;"]"),0)</f>
        <v>0</v>
      </c>
      <c r="BX71" s="9">
        <f>IFERROR(GETPIVOTDATA("[Measures].[Suma de valor]",base!$A$3,"[IF].[departamento_jerarquia2]","[IF].[departamento_jerarquia2].&amp;["&amp;BX$5&amp;"]","[IF].[grupo_analisis]","[IF].[grupo_analisis].&amp;["&amp;$B71&amp;"]","[IF].[mes]","[IF].[mes].&amp;["&amp;BX$8&amp;"]","[IF].[ano]","[IF].[ano].&amp;["&amp;BX$7&amp;"]","[IF].[informacion]","[IF].[informacion].&amp;["&amp;BX$9&amp;"]"),0)</f>
        <v>0</v>
      </c>
      <c r="BY71" s="9">
        <f t="shared" si="176"/>
        <v>0</v>
      </c>
      <c r="BZ71" s="9">
        <f>(IFERROR(GETPIVOTDATA("[Measures].[Suma de valor]",base!$A$3,"[IF].[departamento_jerarquia2]","[IF].[departamento_jerarquia2].&amp;["&amp;BZ$5&amp;"]","[IF].[grupo_analisis]","[IF].[grupo_analisis].&amp;["&amp;$B71&amp;"]","[IF].[mes]","[IF].[mes].&amp;["&amp;BZ$8&amp;"]","[IF].[ano]","[IF].[ano].&amp;["&amp;BZ$7&amp;"]","[IF].[informacion]","[IF].[informacion].&amp;["&amp;BZ$9&amp;"]"),0)*IF($B$2="Real",1,IF(BZ$8&lt;6,6/BZ$8,1)))*(1+CA71)</f>
        <v>0</v>
      </c>
      <c r="CA71" s="116">
        <v>0</v>
      </c>
      <c r="CB71" s="12">
        <f t="shared" si="130"/>
        <v>0</v>
      </c>
      <c r="CC71" s="116">
        <v>0</v>
      </c>
      <c r="CD71" s="12">
        <f t="shared" si="154"/>
        <v>0</v>
      </c>
      <c r="CE71" s="116">
        <v>0</v>
      </c>
      <c r="CF71" s="119">
        <f t="shared" si="177"/>
        <v>0</v>
      </c>
      <c r="CG71" s="116">
        <v>0</v>
      </c>
      <c r="CH71" s="11"/>
      <c r="CI71" s="9"/>
      <c r="CJ71" s="9"/>
      <c r="CK71" s="9"/>
      <c r="CL71" s="9"/>
      <c r="CM71" s="116"/>
      <c r="CN71" s="12"/>
      <c r="CO71" s="116"/>
      <c r="CP71" s="12"/>
      <c r="CQ71" s="116"/>
      <c r="CR71" s="119"/>
      <c r="CS71" s="116"/>
      <c r="CT71" s="11"/>
      <c r="CU71" s="9"/>
      <c r="CV71" s="9"/>
      <c r="CW71" s="9"/>
      <c r="CX71" s="9"/>
      <c r="CY71" s="116"/>
      <c r="CZ71" s="12"/>
      <c r="DA71" s="116"/>
      <c r="DB71" s="12"/>
      <c r="DC71" s="116"/>
      <c r="DD71" s="119"/>
      <c r="DE71" s="116"/>
      <c r="DF71" s="11"/>
      <c r="DG71" s="9">
        <f t="shared" si="178"/>
        <v>0</v>
      </c>
      <c r="DH71" s="12">
        <f t="shared" si="179"/>
        <v>0</v>
      </c>
      <c r="DI71" s="119">
        <f t="shared" si="181"/>
        <v>0</v>
      </c>
      <c r="DK71" s="9">
        <f t="shared" si="186"/>
        <v>0</v>
      </c>
      <c r="DL71" s="12">
        <f t="shared" si="186"/>
        <v>0</v>
      </c>
      <c r="DM71" s="119">
        <f t="shared" si="186"/>
        <v>0</v>
      </c>
    </row>
    <row r="72" spans="1:117" x14ac:dyDescent="0.25">
      <c r="B72" t="s">
        <v>302</v>
      </c>
      <c r="C72" s="9"/>
      <c r="D72" s="9"/>
      <c r="E72" s="9"/>
      <c r="F72" s="9"/>
      <c r="G72" s="116"/>
      <c r="H72" s="12"/>
      <c r="I72" s="116"/>
      <c r="J72" s="12"/>
      <c r="K72" s="116"/>
      <c r="L72" s="119"/>
      <c r="M72" s="116"/>
      <c r="N72" s="11"/>
      <c r="O72" s="9"/>
      <c r="P72" s="9"/>
      <c r="Q72" s="9"/>
      <c r="R72" s="9"/>
      <c r="S72" s="116"/>
      <c r="T72" s="12"/>
      <c r="U72" s="116"/>
      <c r="V72" s="12"/>
      <c r="W72" s="116"/>
      <c r="X72" s="119"/>
      <c r="Y72" s="116"/>
      <c r="Z72" s="11"/>
      <c r="AA72" s="9"/>
      <c r="AB72" s="9"/>
      <c r="AC72" s="9"/>
      <c r="AD72" s="9"/>
      <c r="AE72" s="116"/>
      <c r="AF72" s="12"/>
      <c r="AG72" s="116"/>
      <c r="AH72" s="12"/>
      <c r="AI72" s="116"/>
      <c r="AJ72" s="119"/>
      <c r="AK72" s="116"/>
      <c r="AL72" s="11"/>
      <c r="AM72" s="9"/>
      <c r="AN72" s="9"/>
      <c r="AO72" s="9"/>
      <c r="AP72" s="9"/>
      <c r="AQ72" s="116"/>
      <c r="AR72" s="12"/>
      <c r="AS72" s="116"/>
      <c r="AT72" s="12"/>
      <c r="AU72" s="116"/>
      <c r="AV72" s="119">
        <f>(modelo!W21-modelo!W23)-(modelo!W21*modelo!Z6)</f>
        <v>0</v>
      </c>
      <c r="AW72" s="116"/>
      <c r="AX72" s="11"/>
      <c r="AY72" s="9"/>
      <c r="AZ72" s="9"/>
      <c r="BA72" s="9"/>
      <c r="BB72" s="9"/>
      <c r="BC72" s="116"/>
      <c r="BD72" s="12"/>
      <c r="BE72" s="116"/>
      <c r="BF72" s="12"/>
      <c r="BG72" s="116"/>
      <c r="BH72" s="119"/>
      <c r="BI72" s="116"/>
      <c r="BJ72" s="11"/>
      <c r="BK72" s="9"/>
      <c r="BL72" s="9"/>
      <c r="BM72" s="9"/>
      <c r="BN72" s="9"/>
      <c r="BO72" s="116"/>
      <c r="BP72" s="12"/>
      <c r="BQ72" s="116"/>
      <c r="BR72" s="12"/>
      <c r="BS72" s="116"/>
      <c r="BT72" s="119"/>
      <c r="BU72" s="116"/>
      <c r="BV72" s="11"/>
      <c r="BW72" s="9"/>
      <c r="BX72" s="9"/>
      <c r="BY72" s="9"/>
      <c r="BZ72" s="9"/>
      <c r="CA72" s="116"/>
      <c r="CB72" s="12"/>
      <c r="CC72" s="116"/>
      <c r="CD72" s="12"/>
      <c r="CE72" s="116"/>
      <c r="CF72" s="119">
        <f>(modelo!W27-modelo!W29)-(modelo!W27*modelo!Z6)</f>
        <v>137.23776973213023</v>
      </c>
      <c r="CG72" s="116"/>
      <c r="CH72" s="11"/>
      <c r="CI72" s="9"/>
      <c r="CJ72" s="9"/>
      <c r="CK72" s="9"/>
      <c r="CL72" s="9"/>
      <c r="CM72" s="116"/>
      <c r="CN72" s="12"/>
      <c r="CO72" s="116"/>
      <c r="CP72" s="12"/>
      <c r="CQ72" s="116"/>
      <c r="CR72" s="119"/>
      <c r="CS72" s="116"/>
      <c r="CT72" s="11"/>
      <c r="CU72" s="9"/>
      <c r="CV72" s="9"/>
      <c r="CW72" s="9"/>
      <c r="CX72" s="9"/>
      <c r="CY72" s="116"/>
      <c r="CZ72" s="12"/>
      <c r="DA72" s="116"/>
      <c r="DB72" s="12"/>
      <c r="DC72" s="116"/>
      <c r="DD72" s="119"/>
      <c r="DE72" s="116"/>
      <c r="DF72" s="11"/>
      <c r="DG72" s="9">
        <f t="shared" ref="DG72" si="187">C72+O72+AA72+AM72+AY72+BK72+BW72+CI72+CU72</f>
        <v>0</v>
      </c>
      <c r="DH72" s="12">
        <f t="shared" ref="DH72" si="188">J72+V72+AH72+AT72+BF72+BR72+CD72+CP72+DB72</f>
        <v>0</v>
      </c>
      <c r="DI72" s="119">
        <f t="shared" ref="DI72" si="189">L72+X72+AJ72+AV72+BH72+BT72+CF72+CR72+DD72</f>
        <v>137.23776973213023</v>
      </c>
      <c r="DK72" s="9">
        <f t="shared" ref="DK72" si="190">DG72</f>
        <v>0</v>
      </c>
      <c r="DL72" s="12">
        <f t="shared" ref="DL72" si="191">DH72</f>
        <v>0</v>
      </c>
      <c r="DM72" s="119">
        <f t="shared" ref="DM72" si="192">DI72</f>
        <v>137.23776973213023</v>
      </c>
    </row>
    <row r="73" spans="1:117" x14ac:dyDescent="0.25">
      <c r="B73" t="s">
        <v>102</v>
      </c>
      <c r="C73" s="9">
        <f>IFERROR(GETPIVOTDATA("[Measures].[Suma de valor]",base!$A$3,"[IF].[departamento_jerarquia2]","[IF].[departamento_jerarquia2].&amp;["&amp;C$5&amp;"]","[IF].[grupo_analisis]","[IF].[grupo_analisis].&amp;["&amp;$B73&amp;"]","[IF].[mes]","[IF].[mes].&amp;["&amp;C$8&amp;"]","[IF].[ano]","[IF].[ano].&amp;["&amp;C$7&amp;"]","[IF].[informacion]","[IF].[informacion].&amp;["&amp;C$9&amp;"]"),0)</f>
        <v>0</v>
      </c>
      <c r="D73" s="9">
        <f>IFERROR(GETPIVOTDATA("[Measures].[Suma de valor]",base!$A$3,"[IF].[departamento_jerarquia2]","[IF].[departamento_jerarquia2].&amp;["&amp;D$5&amp;"]","[IF].[grupo_analisis]","[IF].[grupo_analisis].&amp;["&amp;$B73&amp;"]","[IF].[mes]","[IF].[mes].&amp;["&amp;D$8&amp;"]","[IF].[ano]","[IF].[ano].&amp;["&amp;D$7&amp;"]","[IF].[informacion]","[IF].[informacion].&amp;["&amp;D$9&amp;"]"),0)</f>
        <v>0</v>
      </c>
      <c r="E73" s="9">
        <f t="shared" si="165"/>
        <v>0</v>
      </c>
      <c r="F73" s="9">
        <f>(IFERROR(GETPIVOTDATA("[Measures].[Suma de valor]",base!$A$3,"[IF].[departamento_jerarquia2]","[IF].[departamento_jerarquia2].&amp;["&amp;F$5&amp;"]","[IF].[grupo_analisis]","[IF].[grupo_analisis].&amp;["&amp;$B73&amp;"]","[IF].[mes]","[IF].[mes].&amp;["&amp;F$8&amp;"]","[IF].[ano]","[IF].[ano].&amp;["&amp;F$7&amp;"]","[IF].[informacion]","[IF].[informacion].&amp;["&amp;F$9&amp;"]"),0)*IF($B$2="Real",1,IF(F$8&lt;6,6/F$8,1)))*(1+G73)</f>
        <v>0</v>
      </c>
      <c r="G73" s="116">
        <v>0</v>
      </c>
      <c r="H73" s="12">
        <f t="shared" si="110"/>
        <v>0</v>
      </c>
      <c r="I73" s="116">
        <v>0</v>
      </c>
      <c r="J73" s="12">
        <f t="shared" si="111"/>
        <v>0</v>
      </c>
      <c r="K73" s="116">
        <v>0</v>
      </c>
      <c r="L73" s="119">
        <f t="shared" si="166"/>
        <v>0</v>
      </c>
      <c r="M73" s="116">
        <v>0</v>
      </c>
      <c r="N73" s="11"/>
      <c r="O73" s="9">
        <f>IFERROR(GETPIVOTDATA("[Measures].[Suma de valor]",base!$A$3,"[IF].[departamento_jerarquia2]","[IF].[departamento_jerarquia2].&amp;["&amp;O$5&amp;"]","[IF].[grupo_analisis]","[IF].[grupo_analisis].&amp;["&amp;$B73&amp;"]","[IF].[mes]","[IF].[mes].&amp;["&amp;O$8&amp;"]","[IF].[ano]","[IF].[ano].&amp;["&amp;O$7&amp;"]","[IF].[informacion]","[IF].[informacion].&amp;["&amp;O$9&amp;"]"),0)-AA73</f>
        <v>0</v>
      </c>
      <c r="P73" s="9">
        <f>IFERROR(GETPIVOTDATA("[Measures].[Suma de valor]",base!$A$3,"[IF].[departamento_jerarquia2]","[IF].[departamento_jerarquia2].&amp;["&amp;P$5&amp;"]","[IF].[grupo_analisis]","[IF].[grupo_analisis].&amp;["&amp;$B73&amp;"]","[IF].[mes]","[IF].[mes].&amp;["&amp;P$8&amp;"]","[IF].[ano]","[IF].[ano].&amp;["&amp;P$7&amp;"]","[IF].[informacion]","[IF].[informacion].&amp;["&amp;P$9&amp;"]"),0)-AB73</f>
        <v>0</v>
      </c>
      <c r="Q73" s="9">
        <f t="shared" si="167"/>
        <v>0</v>
      </c>
      <c r="R73" s="9">
        <f>(IFERROR(GETPIVOTDATA("[Measures].[Suma de valor]",base!$A$3,"[IF].[departamento_jerarquia2]","[IF].[departamento_jerarquia2].&amp;["&amp;R$5&amp;"]","[IF].[grupo_analisis]","[IF].[grupo_analisis].&amp;["&amp;$B73&amp;"]","[IF].[mes]","[IF].[mes].&amp;["&amp;R$8&amp;"]","[IF].[ano]","[IF].[ano].&amp;["&amp;R$7&amp;"]","[IF].[informacion]","[IF].[informacion].&amp;["&amp;R$9&amp;"]"),0)*IF($B$2="Real",1,IF(R$8&lt;6,6/R$8,1))-AD73)*(1+S73)</f>
        <v>0</v>
      </c>
      <c r="S73" s="116">
        <v>0</v>
      </c>
      <c r="T73" s="12">
        <f t="shared" si="114"/>
        <v>0</v>
      </c>
      <c r="U73" s="116">
        <v>0</v>
      </c>
      <c r="V73" s="12">
        <f t="shared" si="140"/>
        <v>0</v>
      </c>
      <c r="W73" s="116">
        <v>0</v>
      </c>
      <c r="X73" s="119">
        <f t="shared" si="168"/>
        <v>0</v>
      </c>
      <c r="Y73" s="116">
        <v>0</v>
      </c>
      <c r="Z73" s="11"/>
      <c r="AA73" s="9">
        <f>IFERROR(GETPIVOTDATA("[Measures].[Suma de valor]",base!$AN$5,"[IF].[grupo_analisis]","[IF].[grupo_analisis].&amp;["&amp;$B73&amp;"]","[IF].[mes]","[IF].[mes].&amp;["&amp;AA$8&amp;"]","[IF].[ano]","[IF].[ano].&amp;["&amp;AA$7&amp;"]","[IF].[informacion]","[IF].[informacion].&amp;["&amp;AA$9&amp;"]"),0)</f>
        <v>0</v>
      </c>
      <c r="AB73" s="9">
        <f>IFERROR(GETPIVOTDATA("[Measures].[Suma de valor]",base!$AN$5,"[IF].[grupo_analisis]","[IF].[grupo_analisis].&amp;["&amp;$B73&amp;"]","[IF].[mes]","[IF].[mes].&amp;["&amp;AB$8&amp;"]","[IF].[ano]","[IF].[ano].&amp;["&amp;AB$7&amp;"]","[IF].[informacion]","[IF].[informacion].&amp;["&amp;AB$9&amp;"]"),0)</f>
        <v>0</v>
      </c>
      <c r="AC73" s="9">
        <f t="shared" si="169"/>
        <v>0</v>
      </c>
      <c r="AD73" s="9">
        <f>(IFERROR(GETPIVOTDATA("[Measures].[Suma de valor]",base!$AN$5,"[IF].[grupo_analisis]","[IF].[grupo_analisis].&amp;["&amp;$B73&amp;"]","[IF].[mes]","[IF].[mes].&amp;["&amp;AD$8&amp;"]","[IF].[ano]","[IF].[ano].&amp;["&amp;AD$7&amp;"]","[IF].[informacion]","[IF].[informacion].&amp;["&amp;AD$9&amp;"]"),0)*IF($B$2="Real",1,IF(AD$8&lt;6,6/AD$8,1)))*(1+S73)</f>
        <v>0</v>
      </c>
      <c r="AE73" s="116">
        <v>0</v>
      </c>
      <c r="AF73" s="12">
        <f t="shared" si="116"/>
        <v>0</v>
      </c>
      <c r="AG73" s="116">
        <v>0</v>
      </c>
      <c r="AH73" s="12">
        <f t="shared" si="144"/>
        <v>0</v>
      </c>
      <c r="AI73" s="116">
        <v>0</v>
      </c>
      <c r="AJ73" s="119">
        <f t="shared" si="180"/>
        <v>0</v>
      </c>
      <c r="AK73" s="116">
        <v>0</v>
      </c>
      <c r="AL73" s="11"/>
      <c r="AM73" s="9">
        <f>IFERROR(GETPIVOTDATA("[Measures].[Suma de valor]",base!$A$3,"[IF].[departamento_jerarquia2]","[IF].[departamento_jerarquia2].&amp;["&amp;AM$5&amp;"]","[IF].[grupo_analisis]","[IF].[grupo_analisis].&amp;["&amp;$B73&amp;"]","[IF].[mes]","[IF].[mes].&amp;["&amp;AM$8&amp;"]","[IF].[ano]","[IF].[ano].&amp;["&amp;AM$7&amp;"]","[IF].[informacion]","[IF].[informacion].&amp;["&amp;AM$9&amp;"]"),0)-BK73</f>
        <v>0</v>
      </c>
      <c r="AN73" s="9">
        <f>IFERROR(GETPIVOTDATA("[Measures].[Suma de valor]",base!$A$3,"[IF].[departamento_jerarquia2]","[IF].[departamento_jerarquia2].&amp;["&amp;AN$5&amp;"]","[IF].[grupo_analisis]","[IF].[grupo_analisis].&amp;["&amp;$B73&amp;"]","[IF].[mes]","[IF].[mes].&amp;["&amp;AN$8&amp;"]","[IF].[ano]","[IF].[ano].&amp;["&amp;AN$7&amp;"]","[IF].[informacion]","[IF].[informacion].&amp;["&amp;AN$9&amp;"]"),0)-BL73</f>
        <v>0</v>
      </c>
      <c r="AO73" s="9">
        <f t="shared" si="185"/>
        <v>0</v>
      </c>
      <c r="AP73" s="9">
        <v>0</v>
      </c>
      <c r="AQ73" s="116">
        <v>0</v>
      </c>
      <c r="AR73" s="12">
        <f t="shared" si="118"/>
        <v>0</v>
      </c>
      <c r="AS73" s="116">
        <v>0</v>
      </c>
      <c r="AT73" s="12">
        <f t="shared" si="119"/>
        <v>0</v>
      </c>
      <c r="AU73" s="116">
        <v>0</v>
      </c>
      <c r="AV73" s="119">
        <f t="shared" si="171"/>
        <v>0</v>
      </c>
      <c r="AW73" s="116">
        <v>0</v>
      </c>
      <c r="AX73" s="11"/>
      <c r="AY73" s="9">
        <f>IFERROR(GETPIVOTDATA("[Measures].[Suma de valor]",base!$A$3,"[IF].[departamento_jerarquia2]","[IF].[departamento_jerarquia2].&amp;["&amp;AY$5&amp;"]","[IF].[grupo_analisis]","[IF].[grupo_analisis].&amp;["&amp;$B73&amp;"]","[IF].[mes]","[IF].[mes].&amp;["&amp;AY$8&amp;"]","[IF].[ano]","[IF].[ano].&amp;["&amp;AY$7&amp;"]","[IF].[informacion]","[IF].[informacion].&amp;["&amp;AY$9&amp;"]"),0)</f>
        <v>0</v>
      </c>
      <c r="AZ73" s="9">
        <f>IFERROR(GETPIVOTDATA("[Measures].[Suma de valor]",base!$A$3,"[IF].[departamento_jerarquia2]","[IF].[departamento_jerarquia2].&amp;["&amp;AZ$5&amp;"]","[IF].[grupo_analisis]","[IF].[grupo_analisis].&amp;["&amp;$B73&amp;"]","[IF].[mes]","[IF].[mes].&amp;["&amp;AZ$8&amp;"]","[IF].[ano]","[IF].[ano].&amp;["&amp;AZ$7&amp;"]","[IF].[informacion]","[IF].[informacion].&amp;["&amp;AZ$9&amp;"]"),0)</f>
        <v>0</v>
      </c>
      <c r="BA73" s="9">
        <f t="shared" si="172"/>
        <v>0</v>
      </c>
      <c r="BB73" s="9">
        <f>(IFERROR(GETPIVOTDATA("[Measures].[Suma de valor]",base!$A$3,"[IF].[departamento_jerarquia2]","[IF].[departamento_jerarquia2].&amp;["&amp;BB$5&amp;"]","[IF].[grupo_analisis]","[IF].[grupo_analisis].&amp;["&amp;$B73&amp;"]","[IF].[mes]","[IF].[mes].&amp;["&amp;BB$8&amp;"]","[IF].[ano]","[IF].[ano].&amp;["&amp;BB$7&amp;"]","[IF].[informacion]","[IF].[informacion].&amp;["&amp;BB$9&amp;"]"),0)*IF($B$2="Real",1,IF(BB$8&lt;6,6/BB$8,1)))*(1+BC73)</f>
        <v>0</v>
      </c>
      <c r="BC73" s="116">
        <v>0</v>
      </c>
      <c r="BD73" s="12">
        <f t="shared" si="122"/>
        <v>0</v>
      </c>
      <c r="BE73" s="116">
        <v>0</v>
      </c>
      <c r="BF73" s="12">
        <f t="shared" si="123"/>
        <v>0</v>
      </c>
      <c r="BG73" s="116">
        <v>0</v>
      </c>
      <c r="BH73" s="119">
        <f t="shared" si="173"/>
        <v>0</v>
      </c>
      <c r="BI73" s="116">
        <v>0</v>
      </c>
      <c r="BJ73" s="11"/>
      <c r="BK73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73&amp;"]"),0)</f>
        <v>0</v>
      </c>
      <c r="BL73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73&amp;"]"),0)</f>
        <v>0</v>
      </c>
      <c r="BM73" s="9">
        <f t="shared" si="174"/>
        <v>0</v>
      </c>
      <c r="BN73" s="9">
        <f>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73&amp;"]"),0)*IF($B$2="Real",1,IF(BO73&lt;&gt;0,(1+BO73),IF(BN$8&lt;6,6/BN$8,1)))</f>
        <v>0</v>
      </c>
      <c r="BO73" s="116">
        <v>0</v>
      </c>
      <c r="BP73" s="12">
        <f t="shared" si="126"/>
        <v>0</v>
      </c>
      <c r="BQ73" s="116">
        <v>0</v>
      </c>
      <c r="BR73" s="12">
        <f t="shared" si="127"/>
        <v>0</v>
      </c>
      <c r="BS73" s="116">
        <v>0</v>
      </c>
      <c r="BT73" s="119">
        <f t="shared" si="175"/>
        <v>0</v>
      </c>
      <c r="BU73" s="116">
        <v>0</v>
      </c>
      <c r="BV73" s="11"/>
      <c r="BW73" s="9">
        <f>IFERROR(GETPIVOTDATA("[Measures].[Suma de valor]",base!$A$3,"[IF].[departamento_jerarquia2]","[IF].[departamento_jerarquia2].&amp;["&amp;BW$5&amp;"]","[IF].[grupo_analisis]","[IF].[grupo_analisis].&amp;["&amp;$B73&amp;"]","[IF].[mes]","[IF].[mes].&amp;["&amp;BW$8&amp;"]","[IF].[ano]","[IF].[ano].&amp;["&amp;BW$7&amp;"]","[IF].[informacion]","[IF].[informacion].&amp;["&amp;BW$9&amp;"]"),0)</f>
        <v>0</v>
      </c>
      <c r="BX73" s="9">
        <f>IFERROR(GETPIVOTDATA("[Measures].[Suma de valor]",base!$A$3,"[IF].[departamento_jerarquia2]","[IF].[departamento_jerarquia2].&amp;["&amp;BX$5&amp;"]","[IF].[grupo_analisis]","[IF].[grupo_analisis].&amp;["&amp;$B73&amp;"]","[IF].[mes]","[IF].[mes].&amp;["&amp;BX$8&amp;"]","[IF].[ano]","[IF].[ano].&amp;["&amp;BX$7&amp;"]","[IF].[informacion]","[IF].[informacion].&amp;["&amp;BX$9&amp;"]"),0)</f>
        <v>0</v>
      </c>
      <c r="BY73" s="9">
        <f t="shared" si="176"/>
        <v>0</v>
      </c>
      <c r="BZ73" s="9">
        <f>(IFERROR(GETPIVOTDATA("[Measures].[Suma de valor]",base!$A$3,"[IF].[departamento_jerarquia2]","[IF].[departamento_jerarquia2].&amp;["&amp;BZ$5&amp;"]","[IF].[grupo_analisis]","[IF].[grupo_analisis].&amp;["&amp;$B73&amp;"]","[IF].[mes]","[IF].[mes].&amp;["&amp;BZ$8&amp;"]","[IF].[ano]","[IF].[ano].&amp;["&amp;BZ$7&amp;"]","[IF].[informacion]","[IF].[informacion].&amp;["&amp;BZ$9&amp;"]"),0)*IF($B$2="Real",1,IF(BZ$8&lt;6,6/BZ$8,1)))*(1+CA73)</f>
        <v>0</v>
      </c>
      <c r="CA73" s="116">
        <v>0</v>
      </c>
      <c r="CB73" s="12">
        <f t="shared" si="130"/>
        <v>0</v>
      </c>
      <c r="CC73" s="116">
        <v>0</v>
      </c>
      <c r="CD73" s="12">
        <f t="shared" si="154"/>
        <v>0</v>
      </c>
      <c r="CE73" s="116">
        <v>0</v>
      </c>
      <c r="CF73" s="119">
        <f t="shared" si="177"/>
        <v>0</v>
      </c>
      <c r="CG73" s="116">
        <v>0</v>
      </c>
      <c r="CH73" s="11"/>
      <c r="CI73" s="9"/>
      <c r="CJ73" s="9"/>
      <c r="CK73" s="9"/>
      <c r="CL73" s="9"/>
      <c r="CM73" s="116"/>
      <c r="CN73" s="12"/>
      <c r="CO73" s="116"/>
      <c r="CP73" s="12"/>
      <c r="CQ73" s="116"/>
      <c r="CR73" s="119"/>
      <c r="CS73" s="116"/>
      <c r="CT73" s="11"/>
      <c r="CU73" s="9"/>
      <c r="CV73" s="9"/>
      <c r="CW73" s="9"/>
      <c r="CX73" s="9"/>
      <c r="CY73" s="116"/>
      <c r="CZ73" s="12"/>
      <c r="DA73" s="116"/>
      <c r="DB73" s="12"/>
      <c r="DC73" s="116"/>
      <c r="DD73" s="119"/>
      <c r="DE73" s="116"/>
      <c r="DF73" s="11"/>
      <c r="DG73" s="9">
        <f t="shared" si="178"/>
        <v>0</v>
      </c>
      <c r="DH73" s="12">
        <f t="shared" si="179"/>
        <v>0</v>
      </c>
      <c r="DI73" s="119">
        <f t="shared" si="181"/>
        <v>0</v>
      </c>
      <c r="DK73" s="9">
        <f t="shared" si="186"/>
        <v>0</v>
      </c>
      <c r="DL73" s="12">
        <f t="shared" si="186"/>
        <v>0</v>
      </c>
      <c r="DM73" s="119">
        <f t="shared" si="186"/>
        <v>0</v>
      </c>
    </row>
    <row r="74" spans="1:117" x14ac:dyDescent="0.25">
      <c r="B74" s="14" t="s">
        <v>207</v>
      </c>
      <c r="C74" s="15">
        <f>SUM(C41:C47,C67:C73)</f>
        <v>0</v>
      </c>
      <c r="D74" s="15">
        <f>SUM(D41:D47,D67:D73)</f>
        <v>0</v>
      </c>
      <c r="E74" s="15">
        <f>SUM(E41:E47,E67:E73)</f>
        <v>0</v>
      </c>
      <c r="F74" s="15">
        <f>SUM(F41:F47,F67:F73)</f>
        <v>0</v>
      </c>
      <c r="G74" s="15"/>
      <c r="H74" s="15">
        <f>SUM(H41:H47,H67:H73)</f>
        <v>0</v>
      </c>
      <c r="I74" s="15"/>
      <c r="J74" s="15">
        <f>SUM(J41:J47,J67:J73)</f>
        <v>0</v>
      </c>
      <c r="K74" s="15"/>
      <c r="L74" s="15">
        <f>SUM(L41:L47,L67:L73)</f>
        <v>0</v>
      </c>
      <c r="M74" s="15"/>
      <c r="N74" s="112"/>
      <c r="O74" s="15">
        <f t="shared" ref="O74:DI74" si="193">SUM(O41:O47,O67:O73)</f>
        <v>174.90612549869559</v>
      </c>
      <c r="P74" s="15">
        <f t="shared" ref="P74" si="194">SUM(P41:P47,P67:P73)</f>
        <v>98.761859570193877</v>
      </c>
      <c r="Q74" s="15">
        <f>SUM(Q41:Q47,Q67:Q73)</f>
        <v>76.144265928501724</v>
      </c>
      <c r="R74" s="15">
        <f>SUM(R41:R47,R67:R73)</f>
        <v>27.5264928</v>
      </c>
      <c r="S74" s="15"/>
      <c r="T74" s="15">
        <f>SUM(T41:T47,T67:T73)</f>
        <v>88.344265928501713</v>
      </c>
      <c r="U74" s="15"/>
      <c r="V74" s="15">
        <f>SUM(V41:V47,V67:V73)</f>
        <v>71.53938588923225</v>
      </c>
      <c r="W74" s="15"/>
      <c r="X74" s="15">
        <f>SUM(X41:X47,X67:X73)</f>
        <v>96.619385889232248</v>
      </c>
      <c r="Y74" s="15"/>
      <c r="Z74" s="112"/>
      <c r="AA74" s="15">
        <f t="shared" si="193"/>
        <v>760.91856231098041</v>
      </c>
      <c r="AB74" s="15">
        <f t="shared" ref="AB74" si="195">SUM(AB41:AB47,AB67:AB73)</f>
        <v>378.24637190858493</v>
      </c>
      <c r="AC74" s="15">
        <f>SUM(AC41:AC47,AC67:AC73)</f>
        <v>382.67219040239542</v>
      </c>
      <c r="AD74" s="15">
        <f t="shared" ref="AD74" si="196">SUM(AD41:AD47,AD67:AD73)</f>
        <v>322.80495296399999</v>
      </c>
      <c r="AE74" s="15"/>
      <c r="AF74" s="15">
        <f>SUM(AF41:AF47,AF67:AF73)</f>
        <v>413.30267655239538</v>
      </c>
      <c r="AG74" s="15"/>
      <c r="AH74" s="15">
        <f>SUM(AH41:AH47,AH67:AH73)</f>
        <v>741.10201400000005</v>
      </c>
      <c r="AI74" s="15"/>
      <c r="AJ74" s="15">
        <f>SUM(AJ41:AJ47,AJ67:AJ73)</f>
        <v>771.91600000000005</v>
      </c>
      <c r="AK74" s="15"/>
      <c r="AL74" s="112"/>
      <c r="AM74" s="15">
        <f t="shared" si="193"/>
        <v>320.51754623001199</v>
      </c>
      <c r="AN74" s="15">
        <f t="shared" ref="AN74" si="197">SUM(AN41:AN47,AN67:AN73)</f>
        <v>155.75517108872</v>
      </c>
      <c r="AO74" s="15">
        <f>SUM(AO41:AO47,AO67:AO73)</f>
        <v>164.76237514129198</v>
      </c>
      <c r="AP74" s="15">
        <f>SUM(AP41:AP47,AP67:AP73)</f>
        <v>161.7802356</v>
      </c>
      <c r="AQ74" s="15"/>
      <c r="AR74" s="15">
        <f>SUM(AR41:AR47,AR67:AR73)</f>
        <v>164.76237514129198</v>
      </c>
      <c r="AS74" s="15"/>
      <c r="AT74" s="15">
        <f>SUM(AT41:AT47,AT67:AT73)</f>
        <v>448.52041874129196</v>
      </c>
      <c r="AU74" s="15"/>
      <c r="AV74" s="15">
        <f>SUM(AV41:AV47,AV67:AV73)</f>
        <v>461.20685124129199</v>
      </c>
      <c r="AW74" s="15"/>
      <c r="AX74" s="112"/>
      <c r="AY74" s="15">
        <f t="shared" si="193"/>
        <v>0</v>
      </c>
      <c r="AZ74" s="15">
        <f t="shared" ref="AZ74" si="198">SUM(AZ41:AZ47,AZ67:AZ73)</f>
        <v>0</v>
      </c>
      <c r="BA74" s="15">
        <f>SUM(BA41:BA47,BA67:BA73)</f>
        <v>0</v>
      </c>
      <c r="BB74" s="15">
        <f>SUM(BB41:BB47,BB67:BB73)</f>
        <v>0</v>
      </c>
      <c r="BC74" s="15"/>
      <c r="BD74" s="15">
        <f>SUM(BD41:BD47,BD67:BD73)</f>
        <v>0</v>
      </c>
      <c r="BE74" s="15"/>
      <c r="BF74" s="15">
        <f>SUM(BF41:BF47,BF67:BF73)</f>
        <v>0</v>
      </c>
      <c r="BG74" s="15"/>
      <c r="BH74" s="15">
        <f>SUM(BH41:BH47,BH67:BH73)</f>
        <v>0</v>
      </c>
      <c r="BI74" s="15"/>
      <c r="BJ74" s="112"/>
      <c r="BK74" s="15">
        <f t="shared" si="193"/>
        <v>0.25012499999999999</v>
      </c>
      <c r="BL74" s="15">
        <f t="shared" ref="BL74" si="199">SUM(BL41:BL47,BL67:BL73)</f>
        <v>0.1437468375</v>
      </c>
      <c r="BM74" s="15">
        <f>SUM(BM41:BM47,BM67:BM73)</f>
        <v>0.10637816249999998</v>
      </c>
      <c r="BN74" s="15">
        <f t="shared" ref="BN74" si="200">SUM(BN41:BN47,BN67:BN73)</f>
        <v>0.16148759999999998</v>
      </c>
      <c r="BO74" s="15"/>
      <c r="BP74" s="15">
        <f>SUM(BP41:BP47,BP67:BP73)</f>
        <v>0.10637816249999998</v>
      </c>
      <c r="BQ74" s="15"/>
      <c r="BR74" s="15">
        <f>SUM(BR41:BR47,BR67:BR73)</f>
        <v>0.26786576249999994</v>
      </c>
      <c r="BS74" s="15"/>
      <c r="BT74" s="15">
        <f>SUM(BT41:BT47,BT67:BT73)</f>
        <v>3.22008429</v>
      </c>
      <c r="BU74" s="15"/>
      <c r="BV74" s="112"/>
      <c r="BW74" s="15">
        <f t="shared" si="193"/>
        <v>1327.6903318000002</v>
      </c>
      <c r="BX74" s="15">
        <f t="shared" ref="BX74" si="201">SUM(BX41:BX47,BX67:BX73)</f>
        <v>690.87409376133996</v>
      </c>
      <c r="BY74" s="15">
        <f>SUM(BY41:BY47,BY67:BY73)</f>
        <v>636.81623803866</v>
      </c>
      <c r="BZ74" s="15">
        <f>SUM(BZ41:BZ47,BZ67:BZ73)</f>
        <v>234.80460595199997</v>
      </c>
      <c r="CA74" s="15"/>
      <c r="CB74" s="15">
        <f>SUM(CB41:CB47,CB67:CB73)</f>
        <v>569.61823318410006</v>
      </c>
      <c r="CC74" s="15"/>
      <c r="CD74" s="15">
        <f>SUM(CD41:CD47,CD67:CD73)</f>
        <v>929.18887231999997</v>
      </c>
      <c r="CE74" s="15"/>
      <c r="CF74" s="15">
        <f>SUM(CF41:CF47,CF67:CF73)</f>
        <v>1112.2579476583276</v>
      </c>
      <c r="CG74" s="15"/>
      <c r="CH74" s="112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12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12"/>
      <c r="DG74" s="15">
        <f t="shared" si="193"/>
        <v>2584.2826908396883</v>
      </c>
      <c r="DH74" s="16">
        <f t="shared" si="193"/>
        <v>2221.4249041955904</v>
      </c>
      <c r="DI74" s="121">
        <f t="shared" si="193"/>
        <v>2447.6220668358746</v>
      </c>
      <c r="DK74" s="15">
        <f t="shared" ref="DK74:DL74" si="202">SUM(DK41:DK47,DK67:DK73)</f>
        <v>2573.7826908396883</v>
      </c>
      <c r="DL74" s="16">
        <f t="shared" si="202"/>
        <v>2215.4133037955903</v>
      </c>
      <c r="DM74" s="121">
        <f t="shared" ref="DM74" si="203">SUM(DM41:DM47,DM67:DM73)</f>
        <v>2434.3604664358745</v>
      </c>
    </row>
    <row r="75" spans="1:117" x14ac:dyDescent="0.25">
      <c r="C75" s="3"/>
      <c r="D75" s="3"/>
      <c r="O75" s="3"/>
      <c r="P75" s="3"/>
      <c r="AA75" s="3"/>
      <c r="AB75" s="3"/>
      <c r="AD75" s="3"/>
      <c r="AM75" s="3"/>
      <c r="AN75" s="3"/>
      <c r="AY75" s="3"/>
      <c r="AZ75" s="3"/>
      <c r="BK75" s="3"/>
      <c r="BL75" s="3"/>
      <c r="BW75" s="3"/>
      <c r="BX75" s="3"/>
      <c r="CI75" s="3"/>
      <c r="CU75" s="3"/>
      <c r="DG75" s="3">
        <f>+DG48+DG66</f>
        <v>614.77538102974586</v>
      </c>
    </row>
    <row r="76" spans="1:117" x14ac:dyDescent="0.25">
      <c r="B76" s="14" t="s">
        <v>208</v>
      </c>
      <c r="C76" s="15">
        <f>C39-C74</f>
        <v>0</v>
      </c>
      <c r="D76" s="15">
        <f>D39-D74</f>
        <v>0</v>
      </c>
      <c r="E76" s="15">
        <f>E39-E74</f>
        <v>0</v>
      </c>
      <c r="F76" s="15">
        <f>F39-F74</f>
        <v>0</v>
      </c>
      <c r="G76" s="15"/>
      <c r="H76" s="15">
        <f>H39-H74</f>
        <v>0</v>
      </c>
      <c r="I76" s="15"/>
      <c r="J76" s="15">
        <f>J39-J74</f>
        <v>0</v>
      </c>
      <c r="K76" s="15"/>
      <c r="L76" s="15">
        <f>L39-L74</f>
        <v>0</v>
      </c>
      <c r="M76" s="15"/>
      <c r="N76" s="112"/>
      <c r="O76" s="15">
        <f t="shared" ref="O76:DG76" si="204">O39-O74</f>
        <v>-65.618943998695499</v>
      </c>
      <c r="P76" s="15">
        <f t="shared" ref="P76" si="205">P39-P74</f>
        <v>-81.495195333843839</v>
      </c>
      <c r="Q76" s="15">
        <f>Q39-Q74</f>
        <v>15.876251335148297</v>
      </c>
      <c r="R76" s="15">
        <f>R39-R74</f>
        <v>16.316316</v>
      </c>
      <c r="S76" s="15"/>
      <c r="T76" s="15">
        <f>T39-T74</f>
        <v>-54.932395195678197</v>
      </c>
      <c r="U76" s="15"/>
      <c r="V76" s="15">
        <f>V39-V74</f>
        <v>5.7152936435912665</v>
      </c>
      <c r="W76" s="15"/>
      <c r="X76" s="15">
        <f>X39-X74</f>
        <v>37.510245417453731</v>
      </c>
      <c r="Y76" s="15"/>
      <c r="Z76" s="112"/>
      <c r="AA76" s="15">
        <f t="shared" si="204"/>
        <v>196.60326223999971</v>
      </c>
      <c r="AB76" s="15">
        <f t="shared" ref="AB76" si="206">AB39-AB74</f>
        <v>104.2060276651091</v>
      </c>
      <c r="AC76" s="15">
        <f>AC39-AC74</f>
        <v>92.39723457489066</v>
      </c>
      <c r="AD76" s="15">
        <f t="shared" ref="AD76" si="207">AD39-AD74</f>
        <v>261.05950383600009</v>
      </c>
      <c r="AE76" s="15"/>
      <c r="AF76" s="15">
        <f>AF39-AF74</f>
        <v>116.20276909523841</v>
      </c>
      <c r="AG76" s="15"/>
      <c r="AH76" s="15">
        <f>AH39-AH74</f>
        <v>372.2678884476336</v>
      </c>
      <c r="AI76" s="15"/>
      <c r="AJ76" s="15">
        <f>AJ39-AJ74</f>
        <v>390.0025122935275</v>
      </c>
      <c r="AK76" s="15"/>
      <c r="AL76" s="112"/>
      <c r="AM76" s="15">
        <f t="shared" si="204"/>
        <v>32.640864769988013</v>
      </c>
      <c r="AN76" s="15">
        <f t="shared" ref="AN76" si="208">AN39-AN74</f>
        <v>0.29150272908000829</v>
      </c>
      <c r="AO76" s="15">
        <f>AO39-AO74</f>
        <v>32.349362040908005</v>
      </c>
      <c r="AP76" s="15">
        <f>AP39-AP74</f>
        <v>-137.30923559999999</v>
      </c>
      <c r="AQ76" s="15"/>
      <c r="AR76" s="15">
        <f>AR39-AR74</f>
        <v>32.349362040908005</v>
      </c>
      <c r="AS76" s="15"/>
      <c r="AT76" s="15">
        <f>AT39-AT74</f>
        <v>-395.37641874129196</v>
      </c>
      <c r="AU76" s="15"/>
      <c r="AV76" s="15">
        <f>AV39-AV74</f>
        <v>-255.50785124129197</v>
      </c>
      <c r="AW76" s="15"/>
      <c r="AX76" s="112"/>
      <c r="AY76" s="15">
        <f t="shared" si="204"/>
        <v>0</v>
      </c>
      <c r="AZ76" s="15">
        <f t="shared" ref="AZ76" si="209">AZ39-AZ74</f>
        <v>0</v>
      </c>
      <c r="BA76" s="15">
        <f>BA39-BA74</f>
        <v>0</v>
      </c>
      <c r="BB76" s="15">
        <f>BB39-BB74</f>
        <v>0</v>
      </c>
      <c r="BC76" s="15"/>
      <c r="BD76" s="15">
        <f>BD39-BD74</f>
        <v>0</v>
      </c>
      <c r="BE76" s="15"/>
      <c r="BF76" s="15">
        <f>BF39-BF74</f>
        <v>0</v>
      </c>
      <c r="BG76" s="15"/>
      <c r="BH76" s="15">
        <f>BH39-BH74</f>
        <v>0</v>
      </c>
      <c r="BI76" s="15"/>
      <c r="BJ76" s="112"/>
      <c r="BK76" s="15">
        <f t="shared" si="204"/>
        <v>43.249875000000003</v>
      </c>
      <c r="BL76" s="15">
        <f t="shared" ref="BL76" si="210">BL39-BL74</f>
        <v>24.855703162499999</v>
      </c>
      <c r="BM76" s="15">
        <f>BM39-BM74</f>
        <v>18.3941718375</v>
      </c>
      <c r="BN76" s="15">
        <f t="shared" ref="BN76" si="211">BN39-BN74</f>
        <v>23.039312399999996</v>
      </c>
      <c r="BO76" s="15"/>
      <c r="BP76" s="15">
        <f>BP39-BP74</f>
        <v>33.194611837499998</v>
      </c>
      <c r="BQ76" s="15"/>
      <c r="BR76" s="15">
        <f>BR39-BR74</f>
        <v>56.233924237499998</v>
      </c>
      <c r="BS76" s="15"/>
      <c r="BT76" s="15">
        <f>BT39-BT74</f>
        <v>55.824286259999994</v>
      </c>
      <c r="BU76" s="15"/>
      <c r="BV76" s="112"/>
      <c r="BW76" s="15">
        <f t="shared" si="204"/>
        <v>209.05363019999982</v>
      </c>
      <c r="BX76" s="15">
        <f t="shared" ref="BX76" si="212">BX39-BX74</f>
        <v>251.07139735826001</v>
      </c>
      <c r="BY76" s="15">
        <f>BY39-BY74</f>
        <v>-42.017767158259971</v>
      </c>
      <c r="BZ76" s="15">
        <f>BZ39-BZ74</f>
        <v>63.352093920000016</v>
      </c>
      <c r="CA76" s="15"/>
      <c r="CB76" s="15">
        <f>CB39-CB74</f>
        <v>332.03676882349828</v>
      </c>
      <c r="CC76" s="15"/>
      <c r="CD76" s="15">
        <f>CD39-CD74</f>
        <v>270.62282955959836</v>
      </c>
      <c r="CE76" s="15"/>
      <c r="CF76" s="15">
        <f>CF39-CF74</f>
        <v>232.01456446561838</v>
      </c>
      <c r="CG76" s="15"/>
      <c r="CH76" s="112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12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12"/>
      <c r="DG76" s="15">
        <f t="shared" si="204"/>
        <v>415.9286882112915</v>
      </c>
      <c r="DH76" s="16">
        <f t="shared" ref="DH76:DI76" si="213">DH39-DH74</f>
        <v>283.90716966446553</v>
      </c>
      <c r="DI76" s="121">
        <f t="shared" si="213"/>
        <v>457.44195943828481</v>
      </c>
      <c r="DK76" s="15">
        <f t="shared" ref="DK76" si="214">DK39-DK74</f>
        <v>415.9286882112915</v>
      </c>
      <c r="DL76" s="16">
        <f t="shared" ref="DL76:DM76" si="215">DL39-DL74</f>
        <v>283.90716966446553</v>
      </c>
      <c r="DM76" s="121">
        <f t="shared" si="215"/>
        <v>457.44195943828527</v>
      </c>
    </row>
    <row r="78" spans="1:117" x14ac:dyDescent="0.25">
      <c r="B78" t="s">
        <v>112</v>
      </c>
      <c r="C78" s="9">
        <f>IFERROR(GETPIVOTDATA("[Measures].[Suma de valor]",base!$A$3,"[IF].[departamento_jerarquia2]","[IF].[departamento_jerarquia2].&amp;["&amp;C$5&amp;"]","[IF].[grupo_analisis]","[IF].[grupo_analisis].&amp;["&amp;$B78&amp;"]","[IF].[mes]","[IF].[mes].&amp;["&amp;C$8&amp;"]","[IF].[ano]","[IF].[ano].&amp;["&amp;C$7&amp;"]","[IF].[informacion]","[IF].[informacion].&amp;["&amp;C$9&amp;"]"),0)</f>
        <v>0</v>
      </c>
      <c r="D78" s="9">
        <f>IFERROR(GETPIVOTDATA("[Measures].[Suma de valor]",base!$A$3,"[IF].[departamento_jerarquia2]","[IF].[departamento_jerarquia2].&amp;["&amp;D$5&amp;"]","[IF].[grupo_analisis]","[IF].[grupo_analisis].&amp;["&amp;$B78&amp;"]","[IF].[mes]","[IF].[mes].&amp;["&amp;D$8&amp;"]","[IF].[ano]","[IF].[ano].&amp;["&amp;D$7&amp;"]","[IF].[informacion]","[IF].[informacion].&amp;["&amp;D$9&amp;"]"),0)</f>
        <v>0</v>
      </c>
      <c r="E78" s="9">
        <f t="shared" ref="E78:E80" si="216">C78-D78</f>
        <v>0</v>
      </c>
      <c r="F78" s="9">
        <f>(IFERROR(GETPIVOTDATA("[Measures].[Suma de valor]",base!$A$3,"[IF].[departamento_jerarquia2]","[IF].[departamento_jerarquia2].&amp;["&amp;F$5&amp;"]","[IF].[grupo_analisis]","[IF].[grupo_analisis].&amp;["&amp;$B78&amp;"]","[IF].[mes]","[IF].[mes].&amp;["&amp;F$8&amp;"]","[IF].[ano]","[IF].[ano].&amp;["&amp;F$7&amp;"]","[IF].[informacion]","[IF].[informacion].&amp;["&amp;F$9&amp;"]"),0)*IF($B$2="Real",1,IF(F$8&lt;6,6/F$8,1)))*(1+G78)</f>
        <v>0</v>
      </c>
      <c r="G78" s="116">
        <v>0</v>
      </c>
      <c r="H78" s="12">
        <f>E78*(1+I78)</f>
        <v>0</v>
      </c>
      <c r="I78" s="9"/>
      <c r="J78" s="12">
        <f t="shared" ref="J78:J80" si="217">F78+H78</f>
        <v>0</v>
      </c>
      <c r="K78" s="9"/>
      <c r="L78" s="119">
        <f t="shared" ref="L78:L80" si="218">J78*(1+M78)</f>
        <v>0</v>
      </c>
      <c r="M78" s="9"/>
      <c r="N78" s="11"/>
      <c r="O78" s="9">
        <f>IFERROR(GETPIVOTDATA("[Measures].[Suma de valor]",base!$A$3,"[IF].[departamento_jerarquia2]","[IF].[departamento_jerarquia2].&amp;["&amp;O$5&amp;"]","[IF].[grupo_analisis]","[IF].[grupo_analisis].&amp;["&amp;$B78&amp;"]","[IF].[mes]","[IF].[mes].&amp;["&amp;O$8&amp;"]","[IF].[ano]","[IF].[ano].&amp;["&amp;O$7&amp;"]","[IF].[informacion]","[IF].[informacion].&amp;["&amp;O$9&amp;"]"),0)-AA78</f>
        <v>0</v>
      </c>
      <c r="P78" s="9">
        <f>IFERROR(GETPIVOTDATA("[Measures].[Suma de valor]",base!$A$3,"[IF].[departamento_jerarquia2]","[IF].[departamento_jerarquia2].&amp;["&amp;P$5&amp;"]","[IF].[grupo_analisis]","[IF].[grupo_analisis].&amp;["&amp;$B78&amp;"]","[IF].[mes]","[IF].[mes].&amp;["&amp;P$8&amp;"]","[IF].[ano]","[IF].[ano].&amp;["&amp;P$7&amp;"]","[IF].[informacion]","[IF].[informacion].&amp;["&amp;P$9&amp;"]"),0)-AB78</f>
        <v>0</v>
      </c>
      <c r="Q78" s="9">
        <f t="shared" ref="Q78:Q80" si="219">O78-P78</f>
        <v>0</v>
      </c>
      <c r="R78" s="9">
        <f>(IFERROR(GETPIVOTDATA("[Measures].[Suma de valor]",base!$A$3,"[IF].[departamento_jerarquia2]","[IF].[departamento_jerarquia2].&amp;["&amp;R$5&amp;"]","[IF].[grupo_analisis]","[IF].[grupo_analisis].&amp;["&amp;$B78&amp;"]","[IF].[mes]","[IF].[mes].&amp;["&amp;R$8&amp;"]","[IF].[ano]","[IF].[ano].&amp;["&amp;R$7&amp;"]","[IF].[informacion]","[IF].[informacion].&amp;["&amp;R$9&amp;"]"),0)*IF($B$2="Real",1,IF(R$8&lt;6,6/R$8,1))-AD78)*(1+S78)</f>
        <v>3.1996799999999936E-2</v>
      </c>
      <c r="S78" s="116">
        <v>0</v>
      </c>
      <c r="T78" s="12">
        <f>Q78*(1+U78)</f>
        <v>0</v>
      </c>
      <c r="U78" s="9"/>
      <c r="V78" s="12">
        <f t="shared" ref="V78:V80" si="220">R78+T78</f>
        <v>3.1996799999999936E-2</v>
      </c>
      <c r="W78" s="9"/>
      <c r="X78" s="119">
        <f t="shared" ref="X78:X80" si="221">V78*(1+Y78)</f>
        <v>3.1996799999999936E-2</v>
      </c>
      <c r="Y78" s="9"/>
      <c r="Z78" s="11"/>
      <c r="AA78" s="9">
        <f>IFERROR(GETPIVOTDATA("[Measures].[Suma de valor]",base!$AN$5,"[IF].[grupo_analisis]","[IF].[grupo_analisis].&amp;["&amp;$B78&amp;"]","[IF].[mes]","[IF].[mes].&amp;["&amp;AA$8&amp;"]","[IF].[ano]","[IF].[ano].&amp;["&amp;AA$7&amp;"]","[IF].[informacion]","[IF].[informacion].&amp;["&amp;AA$9&amp;"]"),0)</f>
        <v>0</v>
      </c>
      <c r="AB78" s="9">
        <f>IFERROR(GETPIVOTDATA("[Measures].[Suma de valor]",base!$AN$5,"[IF].[grupo_analisis]","[IF].[grupo_analisis].&amp;["&amp;$B78&amp;"]","[IF].[mes]","[IF].[mes].&amp;["&amp;AB$8&amp;"]","[IF].[ano]","[IF].[ano].&amp;["&amp;AB$7&amp;"]","[IF].[informacion]","[IF].[informacion].&amp;["&amp;AB$9&amp;"]"),0)</f>
        <v>0</v>
      </c>
      <c r="AC78" s="9">
        <f t="shared" ref="AC78:AC80" si="222">AA78-AB78</f>
        <v>0</v>
      </c>
      <c r="AD78" s="9">
        <f>(IFERROR(GETPIVOTDATA("[Measures].[Suma de valor]",base!$AN$5,"[IF].[grupo_analisis]","[IF].[grupo_analisis].&amp;["&amp;$B78&amp;"]","[IF].[mes]","[IF].[mes].&amp;["&amp;AD$8&amp;"]","[IF].[ano]","[IF].[ano].&amp;["&amp;AD$7&amp;"]","[IF].[informacion]","[IF].[informacion].&amp;["&amp;AD$9&amp;"]"),0)*IF($B$2="Real",1,IF(AD$8&lt;6,6/AD$8,1)))*(1+S78)</f>
        <v>3.1395396</v>
      </c>
      <c r="AE78" s="116">
        <v>0</v>
      </c>
      <c r="AF78" s="12">
        <f>AC78*(1+AG78)</f>
        <v>0</v>
      </c>
      <c r="AG78" s="9"/>
      <c r="AH78" s="12">
        <v>3.5</v>
      </c>
      <c r="AI78" s="9"/>
      <c r="AJ78" s="119">
        <f>AH78*(1+AK78)</f>
        <v>3.5</v>
      </c>
      <c r="AK78" s="9"/>
      <c r="AL78" s="11"/>
      <c r="AM78" s="9">
        <f>IFERROR(GETPIVOTDATA("[Measures].[Suma de valor]",base!$A$3,"[IF].[departamento_jerarquia2]","[IF].[departamento_jerarquia2].&amp;["&amp;AM$5&amp;"]","[IF].[grupo_analisis]","[IF].[grupo_analisis].&amp;["&amp;$B78&amp;"]","[IF].[mes]","[IF].[mes].&amp;["&amp;AM$8&amp;"]","[IF].[ano]","[IF].[ano].&amp;["&amp;AM$7&amp;"]","[IF].[informacion]","[IF].[informacion].&amp;["&amp;AM$9&amp;"]"),0)-BK78</f>
        <v>0</v>
      </c>
      <c r="AN78" s="9">
        <f>IFERROR(GETPIVOTDATA("[Measures].[Suma de valor]",base!$A$3,"[IF].[departamento_jerarquia2]","[IF].[departamento_jerarquia2].&amp;["&amp;AN$5&amp;"]","[IF].[grupo_analisis]","[IF].[grupo_analisis].&amp;["&amp;$B78&amp;"]","[IF].[mes]","[IF].[mes].&amp;["&amp;AN$8&amp;"]","[IF].[ano]","[IF].[ano].&amp;["&amp;AN$7&amp;"]","[IF].[informacion]","[IF].[informacion].&amp;["&amp;AN$9&amp;"]"),0)-BL78</f>
        <v>0</v>
      </c>
      <c r="AO78" s="9">
        <f t="shared" ref="AO78:AO80" si="223">AM78-AN78</f>
        <v>0</v>
      </c>
      <c r="AP78" s="9">
        <f>(IFERROR(GETPIVOTDATA("[Measures].[Suma de valor]",base!$A$3,"[IF].[departamento_jerarquia2]","[IF].[departamento_jerarquia2].&amp;["&amp;AP$5&amp;"]","[IF].[grupo_analisis]","[IF].[grupo_analisis].&amp;["&amp;$B78&amp;"]","[IF].[mes]","[IF].[mes].&amp;["&amp;AP$8&amp;"]","[IF].[ano]","[IF].[ano].&amp;["&amp;AP$7&amp;"]","[IF].[informacion]","[IF].[informacion].&amp;["&amp;AP$9&amp;"]"),0)*IF($B$2="Real",1,IF(AP$8&lt;6,6/AP$8,1))-BN78)*(1+AQ78)</f>
        <v>0</v>
      </c>
      <c r="AQ78" s="116">
        <v>0</v>
      </c>
      <c r="AR78" s="12">
        <f>AO78*(1+AS78)</f>
        <v>0</v>
      </c>
      <c r="AS78" s="9"/>
      <c r="AT78" s="12">
        <f t="shared" ref="AT78:AT80" si="224">AP78+AR78</f>
        <v>0</v>
      </c>
      <c r="AU78" s="9"/>
      <c r="AV78" s="119">
        <f t="shared" ref="AV78:AV80" si="225">AT78*(1+AW78)</f>
        <v>0</v>
      </c>
      <c r="AW78" s="9"/>
      <c r="AX78" s="11"/>
      <c r="AY78" s="9">
        <f>IFERROR(GETPIVOTDATA("[Measures].[Suma de valor]",base!$A$3,"[IF].[departamento_jerarquia2]","[IF].[departamento_jerarquia2].&amp;["&amp;AY$5&amp;"]","[IF].[grupo_analisis]","[IF].[grupo_analisis].&amp;["&amp;$B78&amp;"]","[IF].[mes]","[IF].[mes].&amp;["&amp;AY$8&amp;"]","[IF].[ano]","[IF].[ano].&amp;["&amp;AY$7&amp;"]","[IF].[informacion]","[IF].[informacion].&amp;["&amp;AY$9&amp;"]"),0)</f>
        <v>0</v>
      </c>
      <c r="AZ78" s="9">
        <f>IFERROR(GETPIVOTDATA("[Measures].[Suma de valor]",base!$A$3,"[IF].[departamento_jerarquia2]","[IF].[departamento_jerarquia2].&amp;["&amp;AZ$5&amp;"]","[IF].[grupo_analisis]","[IF].[grupo_analisis].&amp;["&amp;$B78&amp;"]","[IF].[mes]","[IF].[mes].&amp;["&amp;AZ$8&amp;"]","[IF].[ano]","[IF].[ano].&amp;["&amp;AZ$7&amp;"]","[IF].[informacion]","[IF].[informacion].&amp;["&amp;AZ$9&amp;"]"),0)</f>
        <v>0</v>
      </c>
      <c r="BA78" s="9">
        <f t="shared" ref="BA78:BA80" si="226">AY78-AZ78</f>
        <v>0</v>
      </c>
      <c r="BB78" s="9">
        <f>(IFERROR(GETPIVOTDATA("[Measures].[Suma de valor]",base!$A$3,"[IF].[departamento_jerarquia2]","[IF].[departamento_jerarquia2].&amp;["&amp;BB$5&amp;"]","[IF].[grupo_analisis]","[IF].[grupo_analisis].&amp;["&amp;$B78&amp;"]","[IF].[mes]","[IF].[mes].&amp;["&amp;BB$8&amp;"]","[IF].[ano]","[IF].[ano].&amp;["&amp;BB$7&amp;"]","[IF].[informacion]","[IF].[informacion].&amp;["&amp;BB$9&amp;"]"),0)*IF($B$2="Real",1,IF(BB$8&lt;6,6/BB$8,1)))*(1+BC78)</f>
        <v>0</v>
      </c>
      <c r="BC78" s="116">
        <v>0</v>
      </c>
      <c r="BD78" s="12">
        <f>BA78*(1+BE78)</f>
        <v>0</v>
      </c>
      <c r="BE78" s="9"/>
      <c r="BF78" s="12">
        <f t="shared" ref="BF78:BF80" si="227">BB78+BD78</f>
        <v>0</v>
      </c>
      <c r="BG78" s="9"/>
      <c r="BH78" s="119">
        <f t="shared" ref="BH78:BH80" si="228">BF78*(1+BI78)</f>
        <v>0</v>
      </c>
      <c r="BI78" s="9"/>
      <c r="BJ78" s="11"/>
      <c r="BK78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78&amp;"]"),0)</f>
        <v>0</v>
      </c>
      <c r="BL78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78&amp;"]"),0)</f>
        <v>0</v>
      </c>
      <c r="BM78" s="9">
        <f t="shared" ref="BM78:BM80" si="229">BK78-BL78</f>
        <v>0</v>
      </c>
      <c r="BN78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78&amp;"]"),0)*IF($B$2="Real",1,IF(BN$8&lt;6,6/BN$8,1)))*(1+BO78)</f>
        <v>0</v>
      </c>
      <c r="BO78" s="116">
        <v>0</v>
      </c>
      <c r="BP78" s="12">
        <f>BM78*(1+BQ78)</f>
        <v>0</v>
      </c>
      <c r="BQ78" s="9"/>
      <c r="BR78" s="12">
        <f t="shared" ref="BR78:BR80" si="230">BN78+BP78</f>
        <v>0</v>
      </c>
      <c r="BS78" s="9"/>
      <c r="BT78" s="119">
        <f t="shared" ref="BT78:BT80" si="231">BR78*(1+BU78)</f>
        <v>0</v>
      </c>
      <c r="BU78" s="9"/>
      <c r="BV78" s="11"/>
      <c r="BW78" s="9">
        <f>IFERROR(GETPIVOTDATA("[Measures].[Suma de valor]",base!$A$3,"[IF].[departamento_jerarquia2]","[IF].[departamento_jerarquia2].&amp;["&amp;BW$5&amp;"]","[IF].[grupo_analisis]","[IF].[grupo_analisis].&amp;["&amp;$B78&amp;"]","[IF].[mes]","[IF].[mes].&amp;["&amp;BW$8&amp;"]","[IF].[ano]","[IF].[ano].&amp;["&amp;BW$7&amp;"]","[IF].[informacion]","[IF].[informacion].&amp;["&amp;BW$9&amp;"]"),0)</f>
        <v>0</v>
      </c>
      <c r="BX78" s="9">
        <f>IFERROR(GETPIVOTDATA("[Measures].[Suma de valor]",base!$A$3,"[IF].[departamento_jerarquia2]","[IF].[departamento_jerarquia2].&amp;["&amp;BX$5&amp;"]","[IF].[grupo_analisis]","[IF].[grupo_analisis].&amp;["&amp;$B78&amp;"]","[IF].[mes]","[IF].[mes].&amp;["&amp;BX$8&amp;"]","[IF].[ano]","[IF].[ano].&amp;["&amp;BX$7&amp;"]","[IF].[informacion]","[IF].[informacion].&amp;["&amp;BX$9&amp;"]"),0)</f>
        <v>0</v>
      </c>
      <c r="BY78" s="9">
        <f t="shared" ref="BY78:BY80" si="232">BW78-BX78</f>
        <v>0</v>
      </c>
      <c r="BZ78" s="9">
        <f>(IFERROR(GETPIVOTDATA("[Measures].[Suma de valor]",base!$A$3,"[IF].[departamento_jerarquia2]","[IF].[departamento_jerarquia2].&amp;["&amp;BZ$5&amp;"]","[IF].[grupo_analisis]","[IF].[grupo_analisis].&amp;["&amp;$B78&amp;"]","[IF].[mes]","[IF].[mes].&amp;["&amp;BZ$8&amp;"]","[IF].[ano]","[IF].[ano].&amp;["&amp;BZ$7&amp;"]","[IF].[informacion]","[IF].[informacion].&amp;["&amp;BZ$9&amp;"]"),0)*IF($B$2="Real",1,IF(BZ$8&lt;6,6/BZ$8,1)))*(1+CA78)</f>
        <v>0</v>
      </c>
      <c r="CA78" s="116">
        <v>0</v>
      </c>
      <c r="CB78" s="12">
        <f>BY78*(1+CC78)</f>
        <v>0</v>
      </c>
      <c r="CC78" s="9"/>
      <c r="CD78" s="12">
        <f t="shared" ref="CD78:CD80" si="233">BZ78+CB78</f>
        <v>0</v>
      </c>
      <c r="CE78" s="9"/>
      <c r="CF78" s="119">
        <f t="shared" ref="CF78:CF80" si="234">CD78*(1+CG78)</f>
        <v>0</v>
      </c>
      <c r="CG78" s="9"/>
      <c r="CH78" s="11"/>
      <c r="CI78" s="9"/>
      <c r="CJ78" s="9"/>
      <c r="CK78" s="9"/>
      <c r="CL78" s="9"/>
      <c r="CM78" s="116"/>
      <c r="CN78" s="12"/>
      <c r="CO78" s="9"/>
      <c r="CP78" s="12"/>
      <c r="CQ78" s="9"/>
      <c r="CR78" s="119"/>
      <c r="CS78" s="9"/>
      <c r="CT78" s="11"/>
      <c r="CU78" s="9"/>
      <c r="CV78" s="9"/>
      <c r="CW78" s="9"/>
      <c r="CX78" s="9"/>
      <c r="CY78" s="116"/>
      <c r="CZ78" s="12"/>
      <c r="DA78" s="9"/>
      <c r="DB78" s="12"/>
      <c r="DC78" s="9"/>
      <c r="DD78" s="119"/>
      <c r="DE78" s="9"/>
      <c r="DF78" s="11"/>
      <c r="DG78" s="9">
        <f t="shared" ref="DG78:DG80" si="235">C78+O78+AA78+AM78+AY78+BK78+BW78+CI78+CU78</f>
        <v>0</v>
      </c>
      <c r="DH78" s="12">
        <f t="shared" ref="DH78:DH80" si="236">J78+V78+AH78+AT78+BF78+BR78+CD78+CP78+DB78</f>
        <v>3.5319967999999999</v>
      </c>
      <c r="DI78" s="119">
        <f t="shared" ref="DI78:DI80" si="237">L78+X78+AJ78+AV78+BH78+BT78+CF78+CR78+DD78</f>
        <v>3.5319967999999999</v>
      </c>
      <c r="DK78" s="9">
        <f t="shared" ref="DK78:DM80" si="238">DG78</f>
        <v>0</v>
      </c>
      <c r="DL78" s="12">
        <f t="shared" si="238"/>
        <v>3.5319967999999999</v>
      </c>
      <c r="DM78" s="119">
        <f t="shared" si="238"/>
        <v>3.5319967999999999</v>
      </c>
    </row>
    <row r="79" spans="1:117" x14ac:dyDescent="0.25">
      <c r="B79" t="s">
        <v>114</v>
      </c>
      <c r="C79" s="9">
        <f>IFERROR(GETPIVOTDATA("[Measures].[Suma de valor]",base!$A$3,"[IF].[departamento_jerarquia2]","[IF].[departamento_jerarquia2].&amp;["&amp;C$5&amp;"]","[IF].[grupo_analisis]","[IF].[grupo_analisis].&amp;["&amp;$B79&amp;"]","[IF].[mes]","[IF].[mes].&amp;["&amp;C$8&amp;"]","[IF].[ano]","[IF].[ano].&amp;["&amp;C$7&amp;"]","[IF].[informacion]","[IF].[informacion].&amp;["&amp;C$9&amp;"]"),0)</f>
        <v>0</v>
      </c>
      <c r="D79" s="9">
        <f>IFERROR(GETPIVOTDATA("[Measures].[Suma de valor]",base!$A$3,"[IF].[departamento_jerarquia2]","[IF].[departamento_jerarquia2].&amp;["&amp;D$5&amp;"]","[IF].[grupo_analisis]","[IF].[grupo_analisis].&amp;["&amp;$B79&amp;"]","[IF].[mes]","[IF].[mes].&amp;["&amp;D$8&amp;"]","[IF].[ano]","[IF].[ano].&amp;["&amp;D$7&amp;"]","[IF].[informacion]","[IF].[informacion].&amp;["&amp;D$9&amp;"]"),0)</f>
        <v>0</v>
      </c>
      <c r="E79" s="9">
        <f t="shared" si="216"/>
        <v>0</v>
      </c>
      <c r="F79" s="9">
        <f>(IFERROR(GETPIVOTDATA("[Measures].[Suma de valor]",base!$A$3,"[IF].[departamento_jerarquia2]","[IF].[departamento_jerarquia2].&amp;["&amp;F$5&amp;"]","[IF].[grupo_analisis]","[IF].[grupo_analisis].&amp;["&amp;$B79&amp;"]","[IF].[mes]","[IF].[mes].&amp;["&amp;F$8&amp;"]","[IF].[ano]","[IF].[ano].&amp;["&amp;F$7&amp;"]","[IF].[informacion]","[IF].[informacion].&amp;["&amp;F$9&amp;"]"),0)*IF($B$2="Real",1,IF(F$8&lt;6,6/F$8,1)))*(1+G79)</f>
        <v>0</v>
      </c>
      <c r="G79" s="116">
        <v>0</v>
      </c>
      <c r="H79" s="12">
        <f>E79*(1+I79)</f>
        <v>0</v>
      </c>
      <c r="I79" s="9"/>
      <c r="J79" s="12">
        <f t="shared" si="217"/>
        <v>0</v>
      </c>
      <c r="K79" s="9"/>
      <c r="L79" s="119">
        <f t="shared" si="218"/>
        <v>0</v>
      </c>
      <c r="M79" s="9"/>
      <c r="N79" s="11"/>
      <c r="O79" s="9">
        <f>IFERROR(GETPIVOTDATA("[Measures].[Suma de valor]",base!$A$3,"[IF].[departamento_jerarquia2]","[IF].[departamento_jerarquia2].&amp;["&amp;O$5&amp;"]","[IF].[grupo_analisis]","[IF].[grupo_analisis].&amp;["&amp;$B79&amp;"]","[IF].[mes]","[IF].[mes].&amp;["&amp;O$8&amp;"]","[IF].[ano]","[IF].[ano].&amp;["&amp;O$7&amp;"]","[IF].[informacion]","[IF].[informacion].&amp;["&amp;O$9&amp;"]"),0)-AA79</f>
        <v>0</v>
      </c>
      <c r="P79" s="9">
        <f>IFERROR(GETPIVOTDATA("[Measures].[Suma de valor]",base!$A$3,"[IF].[departamento_jerarquia2]","[IF].[departamento_jerarquia2].&amp;["&amp;P$5&amp;"]","[IF].[grupo_analisis]","[IF].[grupo_analisis].&amp;["&amp;$B79&amp;"]","[IF].[mes]","[IF].[mes].&amp;["&amp;P$8&amp;"]","[IF].[ano]","[IF].[ano].&amp;["&amp;P$7&amp;"]","[IF].[informacion]","[IF].[informacion].&amp;["&amp;P$9&amp;"]"),0)-AB79</f>
        <v>0</v>
      </c>
      <c r="Q79" s="9">
        <f t="shared" si="219"/>
        <v>0</v>
      </c>
      <c r="R79" s="9">
        <f>(IFERROR(GETPIVOTDATA("[Measures].[Suma de valor]",base!$A$3,"[IF].[departamento_jerarquia2]","[IF].[departamento_jerarquia2].&amp;["&amp;R$5&amp;"]","[IF].[grupo_analisis]","[IF].[grupo_analisis].&amp;["&amp;$B79&amp;"]","[IF].[mes]","[IF].[mes].&amp;["&amp;R$8&amp;"]","[IF].[ano]","[IF].[ano].&amp;["&amp;R$7&amp;"]","[IF].[informacion]","[IF].[informacion].&amp;["&amp;R$9&amp;"]"),0)*IF($B$2="Real",1,IF(R$8&lt;6,6/R$8,1))-AD79)*(1+S79)</f>
        <v>0</v>
      </c>
      <c r="S79" s="116">
        <v>0</v>
      </c>
      <c r="T79" s="12">
        <f>Q79*(1+U79)</f>
        <v>0</v>
      </c>
      <c r="U79" s="9"/>
      <c r="V79" s="12">
        <f t="shared" si="220"/>
        <v>0</v>
      </c>
      <c r="W79" s="9"/>
      <c r="X79" s="119">
        <f t="shared" si="221"/>
        <v>0</v>
      </c>
      <c r="Y79" s="9"/>
      <c r="Z79" s="11"/>
      <c r="AA79" s="9">
        <f>IFERROR(GETPIVOTDATA("[Measures].[Suma de valor]",base!$AN$5,"[IF].[grupo_analisis]","[IF].[grupo_analisis].&amp;["&amp;$B79&amp;"]","[IF].[mes]","[IF].[mes].&amp;["&amp;AA$8&amp;"]","[IF].[ano]","[IF].[ano].&amp;["&amp;AA$7&amp;"]","[IF].[informacion]","[IF].[informacion].&amp;["&amp;AA$9&amp;"]"),0)</f>
        <v>0</v>
      </c>
      <c r="AB79" s="9">
        <f>IFERROR(GETPIVOTDATA("[Measures].[Suma de valor]",base!$AN$5,"[IF].[grupo_analisis]","[IF].[grupo_analisis].&amp;["&amp;$B79&amp;"]","[IF].[mes]","[IF].[mes].&amp;["&amp;AB$8&amp;"]","[IF].[ano]","[IF].[ano].&amp;["&amp;AB$7&amp;"]","[IF].[informacion]","[IF].[informacion].&amp;["&amp;AB$9&amp;"]"),0)</f>
        <v>0</v>
      </c>
      <c r="AC79" s="9">
        <f t="shared" si="222"/>
        <v>0</v>
      </c>
      <c r="AD79" s="9">
        <f>(IFERROR(GETPIVOTDATA("[Measures].[Suma de valor]",base!$AN$5,"[IF].[grupo_analisis]","[IF].[grupo_analisis].&amp;["&amp;$B79&amp;"]","[IF].[mes]","[IF].[mes].&amp;["&amp;AD$8&amp;"]","[IF].[ano]","[IF].[ano].&amp;["&amp;AD$7&amp;"]","[IF].[informacion]","[IF].[informacion].&amp;["&amp;AD$9&amp;"]"),0)*IF($B$2="Real",1,IF(AD$8&lt;6,6/AD$8,1)))*(1+S79)</f>
        <v>0</v>
      </c>
      <c r="AE79" s="116">
        <v>0</v>
      </c>
      <c r="AF79" s="12">
        <f>AC79*(1+AG79)</f>
        <v>0</v>
      </c>
      <c r="AG79" s="9"/>
      <c r="AH79" s="12">
        <f t="shared" ref="AH79:AH80" si="239">AD79+AF79</f>
        <v>0</v>
      </c>
      <c r="AI79" s="9"/>
      <c r="AJ79" s="119">
        <f t="shared" ref="AJ79:AJ80" si="240">AH79*(1+AK79)</f>
        <v>0</v>
      </c>
      <c r="AK79" s="9"/>
      <c r="AL79" s="11"/>
      <c r="AM79" s="9">
        <f>IFERROR(GETPIVOTDATA("[Measures].[Suma de valor]",base!$A$3,"[IF].[departamento_jerarquia2]","[IF].[departamento_jerarquia2].&amp;["&amp;AM$5&amp;"]","[IF].[grupo_analisis]","[IF].[grupo_analisis].&amp;["&amp;$B79&amp;"]","[IF].[mes]","[IF].[mes].&amp;["&amp;AM$8&amp;"]","[IF].[ano]","[IF].[ano].&amp;["&amp;AM$7&amp;"]","[IF].[informacion]","[IF].[informacion].&amp;["&amp;AM$9&amp;"]"),0)-BK79</f>
        <v>0</v>
      </c>
      <c r="AN79" s="9">
        <f>IFERROR(GETPIVOTDATA("[Measures].[Suma de valor]",base!$A$3,"[IF].[departamento_jerarquia2]","[IF].[departamento_jerarquia2].&amp;["&amp;AN$5&amp;"]","[IF].[grupo_analisis]","[IF].[grupo_analisis].&amp;["&amp;$B79&amp;"]","[IF].[mes]","[IF].[mes].&amp;["&amp;AN$8&amp;"]","[IF].[ano]","[IF].[ano].&amp;["&amp;AN$7&amp;"]","[IF].[informacion]","[IF].[informacion].&amp;["&amp;AN$9&amp;"]"),0)-BL79</f>
        <v>0</v>
      </c>
      <c r="AO79" s="9">
        <f t="shared" si="223"/>
        <v>0</v>
      </c>
      <c r="AP79" s="9">
        <f>(IFERROR(GETPIVOTDATA("[Measures].[Suma de valor]",base!$A$3,"[IF].[departamento_jerarquia2]","[IF].[departamento_jerarquia2].&amp;["&amp;AP$5&amp;"]","[IF].[grupo_analisis]","[IF].[grupo_analisis].&amp;["&amp;$B79&amp;"]","[IF].[mes]","[IF].[mes].&amp;["&amp;AP$8&amp;"]","[IF].[ano]","[IF].[ano].&amp;["&amp;AP$7&amp;"]","[IF].[informacion]","[IF].[informacion].&amp;["&amp;AP$9&amp;"]"),0)*IF($B$2="Real",1,IF(AP$8&lt;6,6/AP$8,1))-BN79)*(1+AQ79)</f>
        <v>0</v>
      </c>
      <c r="AQ79" s="116">
        <v>0</v>
      </c>
      <c r="AR79" s="12">
        <f>AO79*(1+AS79)</f>
        <v>0</v>
      </c>
      <c r="AS79" s="9"/>
      <c r="AT79" s="12">
        <f t="shared" si="224"/>
        <v>0</v>
      </c>
      <c r="AU79" s="9"/>
      <c r="AV79" s="119">
        <f t="shared" si="225"/>
        <v>0</v>
      </c>
      <c r="AW79" s="9"/>
      <c r="AX79" s="11"/>
      <c r="AY79" s="9">
        <f>IFERROR(GETPIVOTDATA("[Measures].[Suma de valor]",base!$A$3,"[IF].[departamento_jerarquia2]","[IF].[departamento_jerarquia2].&amp;["&amp;AY$5&amp;"]","[IF].[grupo_analisis]","[IF].[grupo_analisis].&amp;["&amp;$B79&amp;"]","[IF].[mes]","[IF].[mes].&amp;["&amp;AY$8&amp;"]","[IF].[ano]","[IF].[ano].&amp;["&amp;AY$7&amp;"]","[IF].[informacion]","[IF].[informacion].&amp;["&amp;AY$9&amp;"]"),0)</f>
        <v>0</v>
      </c>
      <c r="AZ79" s="9">
        <f>IFERROR(GETPIVOTDATA("[Measures].[Suma de valor]",base!$A$3,"[IF].[departamento_jerarquia2]","[IF].[departamento_jerarquia2].&amp;["&amp;AZ$5&amp;"]","[IF].[grupo_analisis]","[IF].[grupo_analisis].&amp;["&amp;$B79&amp;"]","[IF].[mes]","[IF].[mes].&amp;["&amp;AZ$8&amp;"]","[IF].[ano]","[IF].[ano].&amp;["&amp;AZ$7&amp;"]","[IF].[informacion]","[IF].[informacion].&amp;["&amp;AZ$9&amp;"]"),0)</f>
        <v>0</v>
      </c>
      <c r="BA79" s="9">
        <f t="shared" si="226"/>
        <v>0</v>
      </c>
      <c r="BB79" s="9">
        <f>(IFERROR(GETPIVOTDATA("[Measures].[Suma de valor]",base!$A$3,"[IF].[departamento_jerarquia2]","[IF].[departamento_jerarquia2].&amp;["&amp;BB$5&amp;"]","[IF].[grupo_analisis]","[IF].[grupo_analisis].&amp;["&amp;$B79&amp;"]","[IF].[mes]","[IF].[mes].&amp;["&amp;BB$8&amp;"]","[IF].[ano]","[IF].[ano].&amp;["&amp;BB$7&amp;"]","[IF].[informacion]","[IF].[informacion].&amp;["&amp;BB$9&amp;"]"),0)*IF($B$2="Real",1,IF(BB$8&lt;6,6/BB$8,1)))*(1+BC79)</f>
        <v>0</v>
      </c>
      <c r="BC79" s="116">
        <v>0</v>
      </c>
      <c r="BD79" s="12">
        <f>BA79*(1+BE79)</f>
        <v>0</v>
      </c>
      <c r="BE79" s="9"/>
      <c r="BF79" s="12">
        <f t="shared" si="227"/>
        <v>0</v>
      </c>
      <c r="BG79" s="9"/>
      <c r="BH79" s="119">
        <f t="shared" si="228"/>
        <v>0</v>
      </c>
      <c r="BI79" s="9"/>
      <c r="BJ79" s="11"/>
      <c r="BK79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79&amp;"]"),0)</f>
        <v>0</v>
      </c>
      <c r="BL79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79&amp;"]"),0)</f>
        <v>0</v>
      </c>
      <c r="BM79" s="9">
        <f t="shared" si="229"/>
        <v>0</v>
      </c>
      <c r="BN79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79&amp;"]"),0)*IF($B$2="Real",1,IF(BN$8&lt;6,6/BN$8,1)))*(1+BO79)</f>
        <v>0</v>
      </c>
      <c r="BO79" s="116">
        <v>0</v>
      </c>
      <c r="BP79" s="12">
        <f>BM79*(1+BQ79)</f>
        <v>0</v>
      </c>
      <c r="BQ79" s="9"/>
      <c r="BR79" s="12">
        <f t="shared" si="230"/>
        <v>0</v>
      </c>
      <c r="BS79" s="9"/>
      <c r="BT79" s="119">
        <f t="shared" si="231"/>
        <v>0</v>
      </c>
      <c r="BU79" s="9"/>
      <c r="BV79" s="11"/>
      <c r="BW79" s="9">
        <f>IFERROR(GETPIVOTDATA("[Measures].[Suma de valor]",base!$A$3,"[IF].[departamento_jerarquia2]","[IF].[departamento_jerarquia2].&amp;["&amp;BW$5&amp;"]","[IF].[grupo_analisis]","[IF].[grupo_analisis].&amp;["&amp;$B79&amp;"]","[IF].[mes]","[IF].[mes].&amp;["&amp;BW$8&amp;"]","[IF].[ano]","[IF].[ano].&amp;["&amp;BW$7&amp;"]","[IF].[informacion]","[IF].[informacion].&amp;["&amp;BW$9&amp;"]"),0)</f>
        <v>0</v>
      </c>
      <c r="BX79" s="9">
        <f>IFERROR(GETPIVOTDATA("[Measures].[Suma de valor]",base!$A$3,"[IF].[departamento_jerarquia2]","[IF].[departamento_jerarquia2].&amp;["&amp;BX$5&amp;"]","[IF].[grupo_analisis]","[IF].[grupo_analisis].&amp;["&amp;$B79&amp;"]","[IF].[mes]","[IF].[mes].&amp;["&amp;BX$8&amp;"]","[IF].[ano]","[IF].[ano].&amp;["&amp;BX$7&amp;"]","[IF].[informacion]","[IF].[informacion].&amp;["&amp;BX$9&amp;"]"),0)</f>
        <v>0</v>
      </c>
      <c r="BY79" s="9">
        <f t="shared" si="232"/>
        <v>0</v>
      </c>
      <c r="BZ79" s="9">
        <f>(IFERROR(GETPIVOTDATA("[Measures].[Suma de valor]",base!$A$3,"[IF].[departamento_jerarquia2]","[IF].[departamento_jerarquia2].&amp;["&amp;BZ$5&amp;"]","[IF].[grupo_analisis]","[IF].[grupo_analisis].&amp;["&amp;$B79&amp;"]","[IF].[mes]","[IF].[mes].&amp;["&amp;BZ$8&amp;"]","[IF].[ano]","[IF].[ano].&amp;["&amp;BZ$7&amp;"]","[IF].[informacion]","[IF].[informacion].&amp;["&amp;BZ$9&amp;"]"),0)*IF($B$2="Real",1,IF(BZ$8&lt;6,6/BZ$8,1)))*(1+CA79)</f>
        <v>0</v>
      </c>
      <c r="CA79" s="116">
        <v>0</v>
      </c>
      <c r="CB79" s="12">
        <f>BY79*(1+CC79)</f>
        <v>0</v>
      </c>
      <c r="CC79" s="9"/>
      <c r="CD79" s="12">
        <f t="shared" si="233"/>
        <v>0</v>
      </c>
      <c r="CE79" s="9"/>
      <c r="CF79" s="119">
        <f t="shared" si="234"/>
        <v>0</v>
      </c>
      <c r="CG79" s="9"/>
      <c r="CH79" s="11"/>
      <c r="CI79" s="9"/>
      <c r="CJ79" s="9"/>
      <c r="CK79" s="9"/>
      <c r="CL79" s="9"/>
      <c r="CM79" s="116"/>
      <c r="CN79" s="12"/>
      <c r="CO79" s="9"/>
      <c r="CP79" s="12"/>
      <c r="CQ79" s="9"/>
      <c r="CR79" s="119"/>
      <c r="CS79" s="9"/>
      <c r="CT79" s="11"/>
      <c r="CU79" s="9"/>
      <c r="CV79" s="9"/>
      <c r="CW79" s="9"/>
      <c r="CX79" s="9"/>
      <c r="CY79" s="116"/>
      <c r="CZ79" s="12"/>
      <c r="DA79" s="9"/>
      <c r="DB79" s="12"/>
      <c r="DC79" s="9"/>
      <c r="DD79" s="119"/>
      <c r="DE79" s="9"/>
      <c r="DF79" s="11"/>
      <c r="DG79" s="9">
        <f t="shared" si="235"/>
        <v>0</v>
      </c>
      <c r="DH79" s="12">
        <f t="shared" si="236"/>
        <v>0</v>
      </c>
      <c r="DI79" s="119">
        <f t="shared" si="237"/>
        <v>0</v>
      </c>
      <c r="DK79" s="9">
        <f t="shared" si="238"/>
        <v>0</v>
      </c>
      <c r="DL79" s="12">
        <f t="shared" si="238"/>
        <v>0</v>
      </c>
      <c r="DM79" s="119">
        <f t="shared" si="238"/>
        <v>0</v>
      </c>
    </row>
    <row r="80" spans="1:117" x14ac:dyDescent="0.25">
      <c r="B80" t="s">
        <v>104</v>
      </c>
      <c r="C80" s="9">
        <f>IFERROR(GETPIVOTDATA("[Measures].[Suma de valor]",base!$A$3,"[IF].[departamento_jerarquia2]","[IF].[departamento_jerarquia2].&amp;["&amp;C$5&amp;"]","[IF].[grupo_analisis]","[IF].[grupo_analisis].&amp;["&amp;$B80&amp;"]","[IF].[mes]","[IF].[mes].&amp;["&amp;C$8&amp;"]","[IF].[ano]","[IF].[ano].&amp;["&amp;C$7&amp;"]","[IF].[informacion]","[IF].[informacion].&amp;["&amp;C$9&amp;"]"),0)</f>
        <v>0</v>
      </c>
      <c r="D80" s="9">
        <f>IFERROR(GETPIVOTDATA("[Measures].[Suma de valor]",base!$A$3,"[IF].[departamento_jerarquia2]","[IF].[departamento_jerarquia2].&amp;["&amp;D$5&amp;"]","[IF].[grupo_analisis]","[IF].[grupo_analisis].&amp;["&amp;$B80&amp;"]","[IF].[mes]","[IF].[mes].&amp;["&amp;D$8&amp;"]","[IF].[ano]","[IF].[ano].&amp;["&amp;D$7&amp;"]","[IF].[informacion]","[IF].[informacion].&amp;["&amp;D$9&amp;"]"),0)</f>
        <v>0</v>
      </c>
      <c r="E80" s="9">
        <f t="shared" si="216"/>
        <v>0</v>
      </c>
      <c r="F80" s="9">
        <f>(IFERROR(GETPIVOTDATA("[Measures].[Suma de valor]",base!$A$3,"[IF].[departamento_jerarquia2]","[IF].[departamento_jerarquia2].&amp;["&amp;F$5&amp;"]","[IF].[grupo_analisis]","[IF].[grupo_analisis].&amp;["&amp;$B80&amp;"]","[IF].[mes]","[IF].[mes].&amp;["&amp;F$8&amp;"]","[IF].[ano]","[IF].[ano].&amp;["&amp;F$7&amp;"]","[IF].[informacion]","[IF].[informacion].&amp;["&amp;F$9&amp;"]"),0)*IF($B$2="Real",1,IF(F$8&lt;6,6/F$8,1)))*(1+G80)</f>
        <v>0</v>
      </c>
      <c r="G80" s="116">
        <v>0</v>
      </c>
      <c r="H80" s="12">
        <f>E80*(1+I80)</f>
        <v>0</v>
      </c>
      <c r="I80" s="9"/>
      <c r="J80" s="12">
        <f t="shared" si="217"/>
        <v>0</v>
      </c>
      <c r="K80" s="9"/>
      <c r="L80" s="119">
        <f t="shared" si="218"/>
        <v>0</v>
      </c>
      <c r="M80" s="9"/>
      <c r="N80" s="11"/>
      <c r="O80" s="9">
        <f>IFERROR(GETPIVOTDATA("[Measures].[Suma de valor]",base!$A$3,"[IF].[departamento_jerarquia2]","[IF].[departamento_jerarquia2].&amp;["&amp;O$5&amp;"]","[IF].[grupo_analisis]","[IF].[grupo_analisis].&amp;["&amp;$B80&amp;"]","[IF].[mes]","[IF].[mes].&amp;["&amp;O$8&amp;"]","[IF].[ano]","[IF].[ano].&amp;["&amp;O$7&amp;"]","[IF].[informacion]","[IF].[informacion].&amp;["&amp;O$9&amp;"]"),0)-AA80</f>
        <v>0</v>
      </c>
      <c r="P80" s="9">
        <f>IFERROR(GETPIVOTDATA("[Measures].[Suma de valor]",base!$A$3,"[IF].[departamento_jerarquia2]","[IF].[departamento_jerarquia2].&amp;["&amp;P$5&amp;"]","[IF].[grupo_analisis]","[IF].[grupo_analisis].&amp;["&amp;$B80&amp;"]","[IF].[mes]","[IF].[mes].&amp;["&amp;P$8&amp;"]","[IF].[ano]","[IF].[ano].&amp;["&amp;P$7&amp;"]","[IF].[informacion]","[IF].[informacion].&amp;["&amp;P$9&amp;"]"),0)-AB80</f>
        <v>0</v>
      </c>
      <c r="Q80" s="9">
        <f t="shared" si="219"/>
        <v>0</v>
      </c>
      <c r="R80" s="9">
        <f>(IFERROR(GETPIVOTDATA("[Measures].[Suma de valor]",base!$A$3,"[IF].[departamento_jerarquia2]","[IF].[departamento_jerarquia2].&amp;["&amp;R$5&amp;"]","[IF].[grupo_analisis]","[IF].[grupo_analisis].&amp;["&amp;$B80&amp;"]","[IF].[mes]","[IF].[mes].&amp;["&amp;R$8&amp;"]","[IF].[ano]","[IF].[ano].&amp;["&amp;R$7&amp;"]","[IF].[informacion]","[IF].[informacion].&amp;["&amp;R$9&amp;"]"),0)*IF($B$2="Real",1,IF(R$8&lt;6,6/R$8,1))-AD80)*(1+S80)</f>
        <v>0</v>
      </c>
      <c r="S80" s="116">
        <v>0</v>
      </c>
      <c r="T80" s="12">
        <f>Q80*(1+U80)</f>
        <v>0</v>
      </c>
      <c r="U80" s="9"/>
      <c r="V80" s="12">
        <f t="shared" si="220"/>
        <v>0</v>
      </c>
      <c r="W80" s="9"/>
      <c r="X80" s="119">
        <f t="shared" si="221"/>
        <v>0</v>
      </c>
      <c r="Y80" s="9"/>
      <c r="Z80" s="11"/>
      <c r="AA80" s="9">
        <f>IFERROR(GETPIVOTDATA("[Measures].[Suma de valor]",base!$AN$5,"[IF].[grupo_analisis]","[IF].[grupo_analisis].&amp;["&amp;$B80&amp;"]","[IF].[mes]","[IF].[mes].&amp;["&amp;AA$8&amp;"]","[IF].[ano]","[IF].[ano].&amp;["&amp;AA$7&amp;"]","[IF].[informacion]","[IF].[informacion].&amp;["&amp;AA$9&amp;"]"),0)</f>
        <v>0</v>
      </c>
      <c r="AB80" s="9">
        <f>IFERROR(GETPIVOTDATA("[Measures].[Suma de valor]",base!$AN$5,"[IF].[grupo_analisis]","[IF].[grupo_analisis].&amp;["&amp;$B80&amp;"]","[IF].[mes]","[IF].[mes].&amp;["&amp;AB$8&amp;"]","[IF].[ano]","[IF].[ano].&amp;["&amp;AB$7&amp;"]","[IF].[informacion]","[IF].[informacion].&amp;["&amp;AB$9&amp;"]"),0)</f>
        <v>0</v>
      </c>
      <c r="AC80" s="9">
        <f t="shared" si="222"/>
        <v>0</v>
      </c>
      <c r="AD80" s="9">
        <f>(IFERROR(GETPIVOTDATA("[Measures].[Suma de valor]",base!$AN$5,"[IF].[grupo_analisis]","[IF].[grupo_analisis].&amp;["&amp;$B80&amp;"]","[IF].[mes]","[IF].[mes].&amp;["&amp;AD$8&amp;"]","[IF].[ano]","[IF].[ano].&amp;["&amp;AD$7&amp;"]","[IF].[informacion]","[IF].[informacion].&amp;["&amp;AD$9&amp;"]"),0)*IF($B$2="Real",1,IF(AD$8&lt;6,6/AD$8,1)))*(1+S80)</f>
        <v>0</v>
      </c>
      <c r="AE80" s="116">
        <v>0</v>
      </c>
      <c r="AF80" s="12">
        <f>AC80*(1+AG80)</f>
        <v>0</v>
      </c>
      <c r="AG80" s="9"/>
      <c r="AH80" s="12">
        <f t="shared" si="239"/>
        <v>0</v>
      </c>
      <c r="AI80" s="9"/>
      <c r="AJ80" s="119">
        <f t="shared" si="240"/>
        <v>0</v>
      </c>
      <c r="AK80" s="9"/>
      <c r="AL80" s="11"/>
      <c r="AM80" s="9">
        <f>IFERROR(GETPIVOTDATA("[Measures].[Suma de valor]",base!$A$3,"[IF].[departamento_jerarquia2]","[IF].[departamento_jerarquia2].&amp;["&amp;AM$5&amp;"]","[IF].[grupo_analisis]","[IF].[grupo_analisis].&amp;["&amp;$B80&amp;"]","[IF].[mes]","[IF].[mes].&amp;["&amp;AM$8&amp;"]","[IF].[ano]","[IF].[ano].&amp;["&amp;AM$7&amp;"]","[IF].[informacion]","[IF].[informacion].&amp;["&amp;AM$9&amp;"]"),0)-BK80</f>
        <v>0</v>
      </c>
      <c r="AN80" s="9">
        <f>IFERROR(GETPIVOTDATA("[Measures].[Suma de valor]",base!$A$3,"[IF].[departamento_jerarquia2]","[IF].[departamento_jerarquia2].&amp;["&amp;AN$5&amp;"]","[IF].[grupo_analisis]","[IF].[grupo_analisis].&amp;["&amp;$B80&amp;"]","[IF].[mes]","[IF].[mes].&amp;["&amp;AN$8&amp;"]","[IF].[ano]","[IF].[ano].&amp;["&amp;AN$7&amp;"]","[IF].[informacion]","[IF].[informacion].&amp;["&amp;AN$9&amp;"]"),0)-BL80</f>
        <v>0</v>
      </c>
      <c r="AO80" s="9">
        <f t="shared" si="223"/>
        <v>0</v>
      </c>
      <c r="AP80" s="9">
        <f>(IFERROR(GETPIVOTDATA("[Measures].[Suma de valor]",base!$A$3,"[IF].[departamento_jerarquia2]","[IF].[departamento_jerarquia2].&amp;["&amp;AP$5&amp;"]","[IF].[grupo_analisis]","[IF].[grupo_analisis].&amp;["&amp;$B80&amp;"]","[IF].[mes]","[IF].[mes].&amp;["&amp;AP$8&amp;"]","[IF].[ano]","[IF].[ano].&amp;["&amp;AP$7&amp;"]","[IF].[informacion]","[IF].[informacion].&amp;["&amp;AP$9&amp;"]"),0)*IF($B$2="Real",1,IF(AP$8&lt;6,6/AP$8,1))-BN80)*(1+AQ80)</f>
        <v>0</v>
      </c>
      <c r="AQ80" s="116">
        <v>0</v>
      </c>
      <c r="AR80" s="12">
        <f>AO80*(1+AS80)</f>
        <v>0</v>
      </c>
      <c r="AS80" s="9"/>
      <c r="AT80" s="12">
        <f t="shared" si="224"/>
        <v>0</v>
      </c>
      <c r="AU80" s="9"/>
      <c r="AV80" s="119">
        <f t="shared" si="225"/>
        <v>0</v>
      </c>
      <c r="AW80" s="9"/>
      <c r="AX80" s="11"/>
      <c r="AY80" s="9">
        <f>IFERROR(GETPIVOTDATA("[Measures].[Suma de valor]",base!$A$3,"[IF].[departamento_jerarquia2]","[IF].[departamento_jerarquia2].&amp;["&amp;AY$5&amp;"]","[IF].[grupo_analisis]","[IF].[grupo_analisis].&amp;["&amp;$B80&amp;"]","[IF].[mes]","[IF].[mes].&amp;["&amp;AY$8&amp;"]","[IF].[ano]","[IF].[ano].&amp;["&amp;AY$7&amp;"]","[IF].[informacion]","[IF].[informacion].&amp;["&amp;AY$9&amp;"]"),0)</f>
        <v>0</v>
      </c>
      <c r="AZ80" s="9">
        <f>IFERROR(GETPIVOTDATA("[Measures].[Suma de valor]",base!$A$3,"[IF].[departamento_jerarquia2]","[IF].[departamento_jerarquia2].&amp;["&amp;AZ$5&amp;"]","[IF].[grupo_analisis]","[IF].[grupo_analisis].&amp;["&amp;$B80&amp;"]","[IF].[mes]","[IF].[mes].&amp;["&amp;AZ$8&amp;"]","[IF].[ano]","[IF].[ano].&amp;["&amp;AZ$7&amp;"]","[IF].[informacion]","[IF].[informacion].&amp;["&amp;AZ$9&amp;"]"),0)</f>
        <v>0</v>
      </c>
      <c r="BA80" s="9">
        <f t="shared" si="226"/>
        <v>0</v>
      </c>
      <c r="BB80" s="9">
        <f>(IFERROR(GETPIVOTDATA("[Measures].[Suma de valor]",base!$A$3,"[IF].[departamento_jerarquia2]","[IF].[departamento_jerarquia2].&amp;["&amp;BB$5&amp;"]","[IF].[grupo_analisis]","[IF].[grupo_analisis].&amp;["&amp;$B80&amp;"]","[IF].[mes]","[IF].[mes].&amp;["&amp;BB$8&amp;"]","[IF].[ano]","[IF].[ano].&amp;["&amp;BB$7&amp;"]","[IF].[informacion]","[IF].[informacion].&amp;["&amp;BB$9&amp;"]"),0)*IF($B$2="Real",1,IF(BB$8&lt;6,6/BB$8,1)))*(1+BC80)</f>
        <v>0</v>
      </c>
      <c r="BC80" s="116">
        <v>0</v>
      </c>
      <c r="BD80" s="12">
        <f>BA80*(1+BE80)</f>
        <v>0</v>
      </c>
      <c r="BE80" s="9"/>
      <c r="BF80" s="12">
        <f t="shared" si="227"/>
        <v>0</v>
      </c>
      <c r="BG80" s="9"/>
      <c r="BH80" s="119">
        <f t="shared" si="228"/>
        <v>0</v>
      </c>
      <c r="BI80" s="9"/>
      <c r="BJ80" s="11"/>
      <c r="BK80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80&amp;"]"),0)</f>
        <v>0</v>
      </c>
      <c r="BL80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80&amp;"]"),0)</f>
        <v>0</v>
      </c>
      <c r="BM80" s="9">
        <f t="shared" si="229"/>
        <v>0</v>
      </c>
      <c r="BN80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80&amp;"]"),0)*IF($B$2="Real",1,IF(BN$8&lt;6,6/BN$8,1)))*(1+BO80)</f>
        <v>0</v>
      </c>
      <c r="BO80" s="116">
        <v>0</v>
      </c>
      <c r="BP80" s="12">
        <f>BM80*(1+BQ80)</f>
        <v>0</v>
      </c>
      <c r="BQ80" s="9"/>
      <c r="BR80" s="12">
        <f t="shared" si="230"/>
        <v>0</v>
      </c>
      <c r="BS80" s="9"/>
      <c r="BT80" s="119">
        <f t="shared" si="231"/>
        <v>0</v>
      </c>
      <c r="BU80" s="9"/>
      <c r="BV80" s="11"/>
      <c r="BW80" s="9">
        <f>IFERROR(GETPIVOTDATA("[Measures].[Suma de valor]",base!$A$3,"[IF].[departamento_jerarquia2]","[IF].[departamento_jerarquia2].&amp;["&amp;BW$5&amp;"]","[IF].[grupo_analisis]","[IF].[grupo_analisis].&amp;["&amp;$B80&amp;"]","[IF].[mes]","[IF].[mes].&amp;["&amp;BW$8&amp;"]","[IF].[ano]","[IF].[ano].&amp;["&amp;BW$7&amp;"]","[IF].[informacion]","[IF].[informacion].&amp;["&amp;BW$9&amp;"]"),0)</f>
        <v>0</v>
      </c>
      <c r="BX80" s="9">
        <f>IFERROR(GETPIVOTDATA("[Measures].[Suma de valor]",base!$A$3,"[IF].[departamento_jerarquia2]","[IF].[departamento_jerarquia2].&amp;["&amp;BX$5&amp;"]","[IF].[grupo_analisis]","[IF].[grupo_analisis].&amp;["&amp;$B80&amp;"]","[IF].[mes]","[IF].[mes].&amp;["&amp;BX$8&amp;"]","[IF].[ano]","[IF].[ano].&amp;["&amp;BX$7&amp;"]","[IF].[informacion]","[IF].[informacion].&amp;["&amp;BX$9&amp;"]"),0)</f>
        <v>0</v>
      </c>
      <c r="BY80" s="9">
        <f t="shared" si="232"/>
        <v>0</v>
      </c>
      <c r="BZ80" s="9">
        <f>(IFERROR(GETPIVOTDATA("[Measures].[Suma de valor]",base!$A$3,"[IF].[departamento_jerarquia2]","[IF].[departamento_jerarquia2].&amp;["&amp;BZ$5&amp;"]","[IF].[grupo_analisis]","[IF].[grupo_analisis].&amp;["&amp;$B80&amp;"]","[IF].[mes]","[IF].[mes].&amp;["&amp;BZ$8&amp;"]","[IF].[ano]","[IF].[ano].&amp;["&amp;BZ$7&amp;"]","[IF].[informacion]","[IF].[informacion].&amp;["&amp;BZ$9&amp;"]"),0)*IF($B$2="Real",1,IF(BZ$8&lt;6,6/BZ$8,1)))*(1+CA80)</f>
        <v>0</v>
      </c>
      <c r="CA80" s="116">
        <v>0</v>
      </c>
      <c r="CB80" s="12">
        <f>BY80*(1+CC80)</f>
        <v>0</v>
      </c>
      <c r="CC80" s="9"/>
      <c r="CD80" s="12">
        <f t="shared" si="233"/>
        <v>0</v>
      </c>
      <c r="CE80" s="9"/>
      <c r="CF80" s="119">
        <f t="shared" si="234"/>
        <v>0</v>
      </c>
      <c r="CG80" s="9"/>
      <c r="CH80" s="11"/>
      <c r="CI80" s="9"/>
      <c r="CJ80" s="9"/>
      <c r="CK80" s="9"/>
      <c r="CL80" s="9"/>
      <c r="CM80" s="116"/>
      <c r="CN80" s="12"/>
      <c r="CO80" s="9"/>
      <c r="CP80" s="12"/>
      <c r="CQ80" s="9"/>
      <c r="CR80" s="119"/>
      <c r="CS80" s="9"/>
      <c r="CT80" s="11"/>
      <c r="CU80" s="9"/>
      <c r="CV80" s="9"/>
      <c r="CW80" s="9"/>
      <c r="CX80" s="9"/>
      <c r="CY80" s="116"/>
      <c r="CZ80" s="12"/>
      <c r="DA80" s="9"/>
      <c r="DB80" s="12"/>
      <c r="DC80" s="9"/>
      <c r="DD80" s="119"/>
      <c r="DE80" s="9"/>
      <c r="DF80" s="11"/>
      <c r="DG80" s="9">
        <f t="shared" si="235"/>
        <v>0</v>
      </c>
      <c r="DH80" s="12">
        <f t="shared" si="236"/>
        <v>0</v>
      </c>
      <c r="DI80" s="119">
        <f t="shared" si="237"/>
        <v>0</v>
      </c>
      <c r="DK80" s="9">
        <f t="shared" si="238"/>
        <v>0</v>
      </c>
      <c r="DL80" s="12">
        <f t="shared" si="238"/>
        <v>0</v>
      </c>
      <c r="DM80" s="119">
        <f t="shared" si="238"/>
        <v>0</v>
      </c>
    </row>
    <row r="81" spans="2:117" x14ac:dyDescent="0.25">
      <c r="B81" s="14" t="s">
        <v>209</v>
      </c>
      <c r="C81" s="15">
        <f>SUM(C78:C80)</f>
        <v>0</v>
      </c>
      <c r="D81" s="15">
        <f>SUM(D78:D80)</f>
        <v>0</v>
      </c>
      <c r="E81" s="15">
        <f>SUM(E78:E80)</f>
        <v>0</v>
      </c>
      <c r="F81" s="15">
        <f>SUM(F78:F80)</f>
        <v>0</v>
      </c>
      <c r="G81" s="15"/>
      <c r="H81" s="15">
        <f>SUM(H78:H80)</f>
        <v>0</v>
      </c>
      <c r="I81" s="15"/>
      <c r="J81" s="15">
        <f>SUM(J78:J80)</f>
        <v>0</v>
      </c>
      <c r="K81" s="15"/>
      <c r="L81" s="15">
        <f>SUM(L78:L80)</f>
        <v>0</v>
      </c>
      <c r="M81" s="15"/>
      <c r="N81" s="112"/>
      <c r="O81" s="15">
        <f t="shared" ref="O81:DI81" si="241">SUM(O78:O80)</f>
        <v>0</v>
      </c>
      <c r="P81" s="15">
        <f t="shared" ref="P81" si="242">SUM(P78:P80)</f>
        <v>0</v>
      </c>
      <c r="Q81" s="15">
        <f>SUM(Q78:Q80)</f>
        <v>0</v>
      </c>
      <c r="R81" s="15">
        <f>SUM(R78:R80)</f>
        <v>3.1996799999999936E-2</v>
      </c>
      <c r="S81" s="15"/>
      <c r="T81" s="15">
        <f>SUM(T78:T80)</f>
        <v>0</v>
      </c>
      <c r="U81" s="15"/>
      <c r="V81" s="15">
        <f>SUM(V78:V80)</f>
        <v>3.1996799999999936E-2</v>
      </c>
      <c r="W81" s="15"/>
      <c r="X81" s="15">
        <f>SUM(X78:X80)</f>
        <v>3.1996799999999936E-2</v>
      </c>
      <c r="Y81" s="15"/>
      <c r="Z81" s="112"/>
      <c r="AA81" s="15">
        <f t="shared" si="241"/>
        <v>0</v>
      </c>
      <c r="AB81" s="15">
        <f t="shared" ref="AB81" si="243">SUM(AB78:AB80)</f>
        <v>0</v>
      </c>
      <c r="AC81" s="15">
        <f>SUM(AC78:AC80)</f>
        <v>0</v>
      </c>
      <c r="AD81" s="15">
        <f t="shared" ref="AD81" si="244">SUM(AD78:AD80)</f>
        <v>3.1395396</v>
      </c>
      <c r="AE81" s="15"/>
      <c r="AF81" s="15">
        <f>SUM(AF78:AF80)</f>
        <v>0</v>
      </c>
      <c r="AG81" s="15"/>
      <c r="AH81" s="15">
        <f>SUM(AH78:AH80)</f>
        <v>3.5</v>
      </c>
      <c r="AI81" s="15"/>
      <c r="AJ81" s="15">
        <f>SUM(AJ78:AJ80)</f>
        <v>3.5</v>
      </c>
      <c r="AK81" s="15"/>
      <c r="AL81" s="112"/>
      <c r="AM81" s="15">
        <f t="shared" si="241"/>
        <v>0</v>
      </c>
      <c r="AN81" s="15">
        <f t="shared" ref="AN81" si="245">SUM(AN78:AN80)</f>
        <v>0</v>
      </c>
      <c r="AO81" s="15">
        <f>SUM(AO78:AO80)</f>
        <v>0</v>
      </c>
      <c r="AP81" s="15">
        <f>SUM(AP78:AP80)</f>
        <v>0</v>
      </c>
      <c r="AQ81" s="15"/>
      <c r="AR81" s="15">
        <f>SUM(AR78:AR80)</f>
        <v>0</v>
      </c>
      <c r="AS81" s="15"/>
      <c r="AT81" s="15">
        <f>SUM(AT78:AT80)</f>
        <v>0</v>
      </c>
      <c r="AU81" s="15"/>
      <c r="AV81" s="15">
        <f>SUM(AV78:AV80)</f>
        <v>0</v>
      </c>
      <c r="AW81" s="15"/>
      <c r="AX81" s="112"/>
      <c r="AY81" s="15">
        <f t="shared" si="241"/>
        <v>0</v>
      </c>
      <c r="AZ81" s="15">
        <f t="shared" ref="AZ81" si="246">SUM(AZ78:AZ80)</f>
        <v>0</v>
      </c>
      <c r="BA81" s="15">
        <f>SUM(BA78:BA80)</f>
        <v>0</v>
      </c>
      <c r="BB81" s="15">
        <f>SUM(BB78:BB80)</f>
        <v>0</v>
      </c>
      <c r="BC81" s="15"/>
      <c r="BD81" s="15">
        <f>SUM(BD78:BD80)</f>
        <v>0</v>
      </c>
      <c r="BE81" s="15"/>
      <c r="BF81" s="15">
        <f>SUM(BF78:BF80)</f>
        <v>0</v>
      </c>
      <c r="BG81" s="15"/>
      <c r="BH81" s="15">
        <f>SUM(BH78:BH80)</f>
        <v>0</v>
      </c>
      <c r="BI81" s="15"/>
      <c r="BJ81" s="112"/>
      <c r="BK81" s="15">
        <f t="shared" si="241"/>
        <v>0</v>
      </c>
      <c r="BL81" s="15">
        <f t="shared" ref="BL81" si="247">SUM(BL78:BL80)</f>
        <v>0</v>
      </c>
      <c r="BM81" s="15">
        <f>SUM(BM78:BM80)</f>
        <v>0</v>
      </c>
      <c r="BN81" s="15">
        <f t="shared" ref="BN81" si="248">SUM(BN78:BN80)</f>
        <v>0</v>
      </c>
      <c r="BO81" s="15"/>
      <c r="BP81" s="15">
        <f>SUM(BP78:BP80)</f>
        <v>0</v>
      </c>
      <c r="BQ81" s="15"/>
      <c r="BR81" s="15">
        <f>SUM(BR78:BR80)</f>
        <v>0</v>
      </c>
      <c r="BS81" s="15"/>
      <c r="BT81" s="15">
        <f>SUM(BT78:BT80)</f>
        <v>0</v>
      </c>
      <c r="BU81" s="15"/>
      <c r="BV81" s="112"/>
      <c r="BW81" s="15">
        <f t="shared" si="241"/>
        <v>0</v>
      </c>
      <c r="BX81" s="15">
        <f t="shared" ref="BX81" si="249">SUM(BX78:BX80)</f>
        <v>0</v>
      </c>
      <c r="BY81" s="15">
        <f>SUM(BY78:BY80)</f>
        <v>0</v>
      </c>
      <c r="BZ81" s="15">
        <f>SUM(BZ78:BZ80)</f>
        <v>0</v>
      </c>
      <c r="CA81" s="15"/>
      <c r="CB81" s="15">
        <f>SUM(CB78:CB80)</f>
        <v>0</v>
      </c>
      <c r="CC81" s="15"/>
      <c r="CD81" s="15">
        <f>SUM(CD78:CD80)</f>
        <v>0</v>
      </c>
      <c r="CE81" s="15"/>
      <c r="CF81" s="15">
        <f>SUM(CF78:CF80)</f>
        <v>0</v>
      </c>
      <c r="CG81" s="15"/>
      <c r="CH81" s="112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12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12"/>
      <c r="DG81" s="15">
        <f t="shared" si="241"/>
        <v>0</v>
      </c>
      <c r="DH81" s="16">
        <f t="shared" si="241"/>
        <v>3.5319967999999999</v>
      </c>
      <c r="DI81" s="121">
        <f t="shared" si="241"/>
        <v>3.5319967999999999</v>
      </c>
      <c r="DK81" s="15">
        <f t="shared" ref="DK81" si="250">SUM(DK78:DK80)</f>
        <v>0</v>
      </c>
      <c r="DL81" s="16">
        <f t="shared" ref="DL81" si="251">SUM(DL78:DL80)</f>
        <v>3.5319967999999999</v>
      </c>
      <c r="DM81" s="121">
        <f t="shared" ref="DM81" si="252">SUM(DM78:DM80)</f>
        <v>3.5319967999999999</v>
      </c>
    </row>
    <row r="83" spans="2:117" x14ac:dyDescent="0.25">
      <c r="B83" t="s">
        <v>107</v>
      </c>
      <c r="C83" s="9">
        <f>IFERROR(GETPIVOTDATA("[Measures].[Suma de valor]",base!$A$3,"[IF].[departamento_jerarquia2]","[IF].[departamento_jerarquia2].&amp;["&amp;C$5&amp;"]","[IF].[grupo_analisis]","[IF].[grupo_analisis].&amp;["&amp;$B83&amp;"]","[IF].[mes]","[IF].[mes].&amp;["&amp;C$8&amp;"]","[IF].[ano]","[IF].[ano].&amp;["&amp;C$7&amp;"]","[IF].[informacion]","[IF].[informacion].&amp;["&amp;C$9&amp;"]"),0)</f>
        <v>0</v>
      </c>
      <c r="D83" s="9">
        <f>IFERROR(GETPIVOTDATA("[Measures].[Suma de valor]",base!$A$3,"[IF].[departamento_jerarquia2]","[IF].[departamento_jerarquia2].&amp;["&amp;D$5&amp;"]","[IF].[grupo_analisis]","[IF].[grupo_analisis].&amp;["&amp;$B83&amp;"]","[IF].[mes]","[IF].[mes].&amp;["&amp;D$8&amp;"]","[IF].[ano]","[IF].[ano].&amp;["&amp;D$7&amp;"]","[IF].[informacion]","[IF].[informacion].&amp;["&amp;D$9&amp;"]"),0)</f>
        <v>0</v>
      </c>
      <c r="E83" s="9">
        <f t="shared" ref="E83:E85" si="253">C83-D83</f>
        <v>0</v>
      </c>
      <c r="F83" s="9">
        <f>(IFERROR(GETPIVOTDATA("[Measures].[Suma de valor]",base!$A$3,"[IF].[departamento_jerarquia2]","[IF].[departamento_jerarquia2].&amp;["&amp;F$5&amp;"]","[IF].[grupo_analisis]","[IF].[grupo_analisis].&amp;["&amp;$B83&amp;"]","[IF].[mes]","[IF].[mes].&amp;["&amp;F$8&amp;"]","[IF].[ano]","[IF].[ano].&amp;["&amp;F$7&amp;"]","[IF].[informacion]","[IF].[informacion].&amp;["&amp;F$9&amp;"]"),0)*IF($B$2="Real",1,IF(F$8&lt;6,6/F$8,1)))*(1+G83)</f>
        <v>0</v>
      </c>
      <c r="G83" s="116">
        <v>0</v>
      </c>
      <c r="H83" s="12">
        <f>E83*(1+I83)</f>
        <v>0</v>
      </c>
      <c r="I83" s="9"/>
      <c r="J83" s="12">
        <f t="shared" ref="J83:J85" si="254">F83+H83</f>
        <v>0</v>
      </c>
      <c r="K83" s="9"/>
      <c r="L83" s="119">
        <f t="shared" ref="L83:L85" si="255">J83*(1+M83)</f>
        <v>0</v>
      </c>
      <c r="M83" s="9"/>
      <c r="N83" s="11"/>
      <c r="O83" s="9">
        <f>IFERROR(GETPIVOTDATA("[Measures].[Suma de valor]",base!$A$3,"[IF].[departamento_jerarquia2]","[IF].[departamento_jerarquia2].&amp;["&amp;O$5&amp;"]","[IF].[grupo_analisis]","[IF].[grupo_analisis].&amp;["&amp;$B83&amp;"]","[IF].[mes]","[IF].[mes].&amp;["&amp;O$8&amp;"]","[IF].[ano]","[IF].[ano].&amp;["&amp;O$7&amp;"]","[IF].[informacion]","[IF].[informacion].&amp;["&amp;O$9&amp;"]"),0)-AA83</f>
        <v>0</v>
      </c>
      <c r="P83" s="9">
        <f>IFERROR(GETPIVOTDATA("[Measures].[Suma de valor]",base!$A$3,"[IF].[departamento_jerarquia2]","[IF].[departamento_jerarquia2].&amp;["&amp;P$5&amp;"]","[IF].[grupo_analisis]","[IF].[grupo_analisis].&amp;["&amp;$B83&amp;"]","[IF].[mes]","[IF].[mes].&amp;["&amp;P$8&amp;"]","[IF].[ano]","[IF].[ano].&amp;["&amp;P$7&amp;"]","[IF].[informacion]","[IF].[informacion].&amp;["&amp;P$9&amp;"]"),0)-AB83</f>
        <v>0</v>
      </c>
      <c r="Q83" s="9">
        <f t="shared" ref="Q83:Q85" si="256">O83-P83</f>
        <v>0</v>
      </c>
      <c r="R83" s="9">
        <f>(IFERROR(GETPIVOTDATA("[Measures].[Suma de valor]",base!$A$3,"[IF].[departamento_jerarquia2]","[IF].[departamento_jerarquia2].&amp;["&amp;R$5&amp;"]","[IF].[grupo_analisis]","[IF].[grupo_analisis].&amp;["&amp;$B83&amp;"]","[IF].[mes]","[IF].[mes].&amp;["&amp;R$8&amp;"]","[IF].[ano]","[IF].[ano].&amp;["&amp;R$7&amp;"]","[IF].[informacion]","[IF].[informacion].&amp;["&amp;R$9&amp;"]"),0)*IF($B$2="Real",1,IF(R$8&lt;6,6/R$8,1))-AD83)*(1+S83)</f>
        <v>0</v>
      </c>
      <c r="S83" s="116">
        <v>0</v>
      </c>
      <c r="T83" s="12">
        <f>Q83*(1+U83)</f>
        <v>0</v>
      </c>
      <c r="U83" s="9"/>
      <c r="V83" s="12">
        <f t="shared" ref="V83:V85" si="257">R83+T83</f>
        <v>0</v>
      </c>
      <c r="W83" s="9"/>
      <c r="X83" s="119">
        <f t="shared" ref="X83:X85" si="258">V83*(1+Y83)</f>
        <v>0</v>
      </c>
      <c r="Y83" s="9"/>
      <c r="Z83" s="11"/>
      <c r="AA83" s="9">
        <f>IFERROR(GETPIVOTDATA("[Measures].[Suma de valor]",base!$AN$5,"[IF].[grupo_analisis]","[IF].[grupo_analisis].&amp;["&amp;$B83&amp;"]","[IF].[mes]","[IF].[mes].&amp;["&amp;AA$8&amp;"]","[IF].[ano]","[IF].[ano].&amp;["&amp;AA$7&amp;"]","[IF].[informacion]","[IF].[informacion].&amp;["&amp;AA$9&amp;"]"),0)</f>
        <v>0</v>
      </c>
      <c r="AB83" s="9">
        <f>IFERROR(GETPIVOTDATA("[Measures].[Suma de valor]",base!$AN$5,"[IF].[grupo_analisis]","[IF].[grupo_analisis].&amp;["&amp;$B83&amp;"]","[IF].[mes]","[IF].[mes].&amp;["&amp;AB$8&amp;"]","[IF].[ano]","[IF].[ano].&amp;["&amp;AB$7&amp;"]","[IF].[informacion]","[IF].[informacion].&amp;["&amp;AB$9&amp;"]"),0)</f>
        <v>0</v>
      </c>
      <c r="AC83" s="9">
        <f t="shared" ref="AC83:AC85" si="259">AA83-AB83</f>
        <v>0</v>
      </c>
      <c r="AD83" s="9">
        <f>(IFERROR(GETPIVOTDATA("[Measures].[Suma de valor]",base!$AN$5,"[IF].[grupo_analisis]","[IF].[grupo_analisis].&amp;["&amp;$B83&amp;"]","[IF].[mes]","[IF].[mes].&amp;["&amp;AD$8&amp;"]","[IF].[ano]","[IF].[ano].&amp;["&amp;AD$7&amp;"]","[IF].[informacion]","[IF].[informacion].&amp;["&amp;AD$9&amp;"]"),0)*IF($B$2="Real",1,IF(AD$8&lt;6,6/AD$8,1)))*(1+S83)</f>
        <v>0.106763496</v>
      </c>
      <c r="AE83" s="116">
        <v>0</v>
      </c>
      <c r="AF83" s="12">
        <f>AC83*(1+AG83)</f>
        <v>0</v>
      </c>
      <c r="AG83" s="9"/>
      <c r="AH83" s="12">
        <f t="shared" ref="AH83:AH85" si="260">AD83+AF83</f>
        <v>0.106763496</v>
      </c>
      <c r="AI83" s="9"/>
      <c r="AJ83" s="119">
        <f t="shared" ref="AJ83:AJ85" si="261">AH83*(1+AK83)</f>
        <v>0.106763496</v>
      </c>
      <c r="AK83" s="9"/>
      <c r="AL83" s="11"/>
      <c r="AM83" s="9">
        <f>IFERROR(GETPIVOTDATA("[Measures].[Suma de valor]",base!$A$3,"[IF].[departamento_jerarquia2]","[IF].[departamento_jerarquia2].&amp;["&amp;AM$5&amp;"]","[IF].[grupo_analisis]","[IF].[grupo_analisis].&amp;["&amp;$B83&amp;"]","[IF].[mes]","[IF].[mes].&amp;["&amp;AM$8&amp;"]","[IF].[ano]","[IF].[ano].&amp;["&amp;AM$7&amp;"]","[IF].[informacion]","[IF].[informacion].&amp;["&amp;AM$9&amp;"]"),0)-BK83</f>
        <v>0</v>
      </c>
      <c r="AN83" s="9">
        <f>IFERROR(GETPIVOTDATA("[Measures].[Suma de valor]",base!$A$3,"[IF].[departamento_jerarquia2]","[IF].[departamento_jerarquia2].&amp;["&amp;AN$5&amp;"]","[IF].[grupo_analisis]","[IF].[grupo_analisis].&amp;["&amp;$B83&amp;"]","[IF].[mes]","[IF].[mes].&amp;["&amp;AN$8&amp;"]","[IF].[ano]","[IF].[ano].&amp;["&amp;AN$7&amp;"]","[IF].[informacion]","[IF].[informacion].&amp;["&amp;AN$9&amp;"]"),0)-BL83</f>
        <v>0</v>
      </c>
      <c r="AO83" s="9">
        <f t="shared" ref="AO83:AO85" si="262">AM83-AN83</f>
        <v>0</v>
      </c>
      <c r="AP83" s="9">
        <f>(IFERROR(GETPIVOTDATA("[Measures].[Suma de valor]",base!$A$3,"[IF].[departamento_jerarquia2]","[IF].[departamento_jerarquia2].&amp;["&amp;AP$5&amp;"]","[IF].[grupo_analisis]","[IF].[grupo_analisis].&amp;["&amp;$B83&amp;"]","[IF].[mes]","[IF].[mes].&amp;["&amp;AP$8&amp;"]","[IF].[ano]","[IF].[ano].&amp;["&amp;AP$7&amp;"]","[IF].[informacion]","[IF].[informacion].&amp;["&amp;AP$9&amp;"]"),0)*IF($B$2="Real",1,IF(AP$8&lt;6,6/AP$8,1))-BN83)*(1+AQ83)</f>
        <v>0</v>
      </c>
      <c r="AQ83" s="116">
        <v>0</v>
      </c>
      <c r="AR83" s="12">
        <f>AO83*(1+AS83)</f>
        <v>0</v>
      </c>
      <c r="AS83" s="9"/>
      <c r="AT83" s="12">
        <f t="shared" ref="AT83:AT85" si="263">AP83+AR83</f>
        <v>0</v>
      </c>
      <c r="AU83" s="9"/>
      <c r="AV83" s="119">
        <f t="shared" ref="AV83:AV85" si="264">AT83*(1+AW83)</f>
        <v>0</v>
      </c>
      <c r="AW83" s="9"/>
      <c r="AX83" s="11"/>
      <c r="AY83" s="9">
        <f>IFERROR(GETPIVOTDATA("[Measures].[Suma de valor]",base!$A$3,"[IF].[departamento_jerarquia2]","[IF].[departamento_jerarquia2].&amp;["&amp;AY$5&amp;"]","[IF].[grupo_analisis]","[IF].[grupo_analisis].&amp;["&amp;$B83&amp;"]","[IF].[mes]","[IF].[mes].&amp;["&amp;AY$8&amp;"]","[IF].[ano]","[IF].[ano].&amp;["&amp;AY$7&amp;"]","[IF].[informacion]","[IF].[informacion].&amp;["&amp;AY$9&amp;"]"),0)</f>
        <v>0</v>
      </c>
      <c r="AZ83" s="9">
        <f>IFERROR(GETPIVOTDATA("[Measures].[Suma de valor]",base!$A$3,"[IF].[departamento_jerarquia2]","[IF].[departamento_jerarquia2].&amp;["&amp;AZ$5&amp;"]","[IF].[grupo_analisis]","[IF].[grupo_analisis].&amp;["&amp;$B83&amp;"]","[IF].[mes]","[IF].[mes].&amp;["&amp;AZ$8&amp;"]","[IF].[ano]","[IF].[ano].&amp;["&amp;AZ$7&amp;"]","[IF].[informacion]","[IF].[informacion].&amp;["&amp;AZ$9&amp;"]"),0)</f>
        <v>0</v>
      </c>
      <c r="BA83" s="9">
        <f t="shared" ref="BA83:BA85" si="265">AY83-AZ83</f>
        <v>0</v>
      </c>
      <c r="BB83" s="9">
        <f>(IFERROR(GETPIVOTDATA("[Measures].[Suma de valor]",base!$A$3,"[IF].[departamento_jerarquia2]","[IF].[departamento_jerarquia2].&amp;["&amp;BB$5&amp;"]","[IF].[grupo_analisis]","[IF].[grupo_analisis].&amp;["&amp;$B83&amp;"]","[IF].[mes]","[IF].[mes].&amp;["&amp;BB$8&amp;"]","[IF].[ano]","[IF].[ano].&amp;["&amp;BB$7&amp;"]","[IF].[informacion]","[IF].[informacion].&amp;["&amp;BB$9&amp;"]"),0)*IF($B$2="Real",1,IF(BB$8&lt;6,6/BB$8,1)))*(1+BC83)</f>
        <v>0</v>
      </c>
      <c r="BC83" s="116">
        <v>0</v>
      </c>
      <c r="BD83" s="12">
        <f>BA83*(1+BE83)</f>
        <v>0</v>
      </c>
      <c r="BE83" s="9"/>
      <c r="BF83" s="12">
        <f t="shared" ref="BF83:BF85" si="266">BB83+BD83</f>
        <v>0</v>
      </c>
      <c r="BG83" s="9"/>
      <c r="BH83" s="119">
        <f t="shared" ref="BH83:BH85" si="267">BF83*(1+BI83)</f>
        <v>0</v>
      </c>
      <c r="BI83" s="9"/>
      <c r="BJ83" s="11"/>
      <c r="BK83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83&amp;"]"),0)</f>
        <v>0</v>
      </c>
      <c r="BL83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83&amp;"]"),0)</f>
        <v>0</v>
      </c>
      <c r="BM83" s="9">
        <f t="shared" ref="BM83:BM85" si="268">BK83-BL83</f>
        <v>0</v>
      </c>
      <c r="BN83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83&amp;"]"),0)*IF($B$2="Real",1,IF(BN$8&lt;6,6/BN$8,1)))*(1+BO83)</f>
        <v>0</v>
      </c>
      <c r="BO83" s="116">
        <v>0</v>
      </c>
      <c r="BP83" s="12">
        <f>BM83*(1+BQ83)</f>
        <v>0</v>
      </c>
      <c r="BQ83" s="9"/>
      <c r="BR83" s="12">
        <f t="shared" ref="BR83:BR85" si="269">BN83+BP83</f>
        <v>0</v>
      </c>
      <c r="BS83" s="9"/>
      <c r="BT83" s="119">
        <f t="shared" ref="BT83:BT85" si="270">BR83*(1+BU83)</f>
        <v>0</v>
      </c>
      <c r="BU83" s="9"/>
      <c r="BV83" s="11"/>
      <c r="BW83" s="9">
        <f>IFERROR(GETPIVOTDATA("[Measures].[Suma de valor]",base!$A$3,"[IF].[departamento_jerarquia2]","[IF].[departamento_jerarquia2].&amp;["&amp;BW$5&amp;"]","[IF].[grupo_analisis]","[IF].[grupo_analisis].&amp;["&amp;$B83&amp;"]","[IF].[mes]","[IF].[mes].&amp;["&amp;BW$8&amp;"]","[IF].[ano]","[IF].[ano].&amp;["&amp;BW$7&amp;"]","[IF].[informacion]","[IF].[informacion].&amp;["&amp;BW$9&amp;"]"),0)</f>
        <v>0</v>
      </c>
      <c r="BX83" s="9">
        <f>IFERROR(GETPIVOTDATA("[Measures].[Suma de valor]",base!$A$3,"[IF].[departamento_jerarquia2]","[IF].[departamento_jerarquia2].&amp;["&amp;BX$5&amp;"]","[IF].[grupo_analisis]","[IF].[grupo_analisis].&amp;["&amp;$B83&amp;"]","[IF].[mes]","[IF].[mes].&amp;["&amp;BX$8&amp;"]","[IF].[ano]","[IF].[ano].&amp;["&amp;BX$7&amp;"]","[IF].[informacion]","[IF].[informacion].&amp;["&amp;BX$9&amp;"]"),0)</f>
        <v>0</v>
      </c>
      <c r="BY83" s="9">
        <f t="shared" ref="BY83:BY85" si="271">BW83-BX83</f>
        <v>0</v>
      </c>
      <c r="BZ83" s="9">
        <f>(IFERROR(GETPIVOTDATA("[Measures].[Suma de valor]",base!$A$3,"[IF].[departamento_jerarquia2]","[IF].[departamento_jerarquia2].&amp;["&amp;BZ$5&amp;"]","[IF].[grupo_analisis]","[IF].[grupo_analisis].&amp;["&amp;$B83&amp;"]","[IF].[mes]","[IF].[mes].&amp;["&amp;BZ$8&amp;"]","[IF].[ano]","[IF].[ano].&amp;["&amp;BZ$7&amp;"]","[IF].[informacion]","[IF].[informacion].&amp;["&amp;BZ$9&amp;"]"),0)*IF($B$2="Real",1,IF(BZ$8&lt;6,6/BZ$8,1)))*(1+CA83)</f>
        <v>1.5470575679999998</v>
      </c>
      <c r="CA83" s="116">
        <v>0</v>
      </c>
      <c r="CB83" s="12">
        <f>BY83*(1+CC83)</f>
        <v>0</v>
      </c>
      <c r="CC83" s="9"/>
      <c r="CD83" s="12">
        <f t="shared" ref="CD83:CD85" si="272">BZ83+CB83</f>
        <v>1.5470575679999998</v>
      </c>
      <c r="CE83" s="9"/>
      <c r="CF83" s="119">
        <f t="shared" ref="CF83:CF85" si="273">CD83*(1+CG83)</f>
        <v>1.5470575679999998</v>
      </c>
      <c r="CG83" s="9"/>
      <c r="CH83" s="11"/>
      <c r="CI83" s="9"/>
      <c r="CJ83" s="9"/>
      <c r="CK83" s="9"/>
      <c r="CL83" s="9"/>
      <c r="CM83" s="116"/>
      <c r="CN83" s="12"/>
      <c r="CO83" s="9"/>
      <c r="CP83" s="12"/>
      <c r="CQ83" s="9"/>
      <c r="CR83" s="119"/>
      <c r="CS83" s="9"/>
      <c r="CT83" s="11"/>
      <c r="CU83" s="9"/>
      <c r="CV83" s="9"/>
      <c r="CW83" s="9"/>
      <c r="CX83" s="9"/>
      <c r="CY83" s="116"/>
      <c r="CZ83" s="12"/>
      <c r="DA83" s="9"/>
      <c r="DB83" s="12"/>
      <c r="DC83" s="9"/>
      <c r="DD83" s="119"/>
      <c r="DE83" s="9"/>
      <c r="DF83" s="11"/>
      <c r="DG83" s="9">
        <f t="shared" ref="DG83:DG85" si="274">C83+O83+AA83+AM83+AY83+BK83+BW83+CI83+CU83</f>
        <v>0</v>
      </c>
      <c r="DH83" s="12">
        <f t="shared" ref="DH83:DH85" si="275">J83+V83+AH83+AT83+BF83+BR83+CD83+CP83+DB83</f>
        <v>1.6538210639999997</v>
      </c>
      <c r="DI83" s="119">
        <f t="shared" ref="DI83:DI85" si="276">L83+X83+AJ83+AV83+BH83+BT83+CF83+CR83+DD83</f>
        <v>1.6538210639999997</v>
      </c>
      <c r="DK83" s="9">
        <f t="shared" ref="DK83:DM85" si="277">DG83</f>
        <v>0</v>
      </c>
      <c r="DL83" s="12">
        <f t="shared" si="277"/>
        <v>1.6538210639999997</v>
      </c>
      <c r="DM83" s="119">
        <f t="shared" si="277"/>
        <v>1.6538210639999997</v>
      </c>
    </row>
    <row r="84" spans="2:117" x14ac:dyDescent="0.25">
      <c r="B84" t="s">
        <v>110</v>
      </c>
      <c r="C84" s="9">
        <f>IFERROR(GETPIVOTDATA("[Measures].[Suma de valor]",base!$A$3,"[IF].[departamento_jerarquia2]","[IF].[departamento_jerarquia2].&amp;["&amp;C$5&amp;"]","[IF].[grupo_analisis]","[IF].[grupo_analisis].&amp;["&amp;$B84&amp;"]","[IF].[mes]","[IF].[mes].&amp;["&amp;C$8&amp;"]","[IF].[ano]","[IF].[ano].&amp;["&amp;C$7&amp;"]","[IF].[informacion]","[IF].[informacion].&amp;["&amp;C$9&amp;"]"),0)</f>
        <v>0</v>
      </c>
      <c r="D84" s="9">
        <f>IFERROR(GETPIVOTDATA("[Measures].[Suma de valor]",base!$A$3,"[IF].[departamento_jerarquia2]","[IF].[departamento_jerarquia2].&amp;["&amp;D$5&amp;"]","[IF].[grupo_analisis]","[IF].[grupo_analisis].&amp;["&amp;$B84&amp;"]","[IF].[mes]","[IF].[mes].&amp;["&amp;D$8&amp;"]","[IF].[ano]","[IF].[ano].&amp;["&amp;D$7&amp;"]","[IF].[informacion]","[IF].[informacion].&amp;["&amp;D$9&amp;"]"),0)</f>
        <v>0</v>
      </c>
      <c r="E84" s="9">
        <f t="shared" si="253"/>
        <v>0</v>
      </c>
      <c r="F84" s="9">
        <f>(IFERROR(GETPIVOTDATA("[Measures].[Suma de valor]",base!$A$3,"[IF].[departamento_jerarquia2]","[IF].[departamento_jerarquia2].&amp;["&amp;F$5&amp;"]","[IF].[grupo_analisis]","[IF].[grupo_analisis].&amp;["&amp;$B84&amp;"]","[IF].[mes]","[IF].[mes].&amp;["&amp;F$8&amp;"]","[IF].[ano]","[IF].[ano].&amp;["&amp;F$7&amp;"]","[IF].[informacion]","[IF].[informacion].&amp;["&amp;F$9&amp;"]"),0)*IF($B$2="Real",1,IF(F$8&lt;6,6/F$8,1)))*(1+G84)</f>
        <v>0</v>
      </c>
      <c r="G84" s="116">
        <v>0</v>
      </c>
      <c r="H84" s="12">
        <f>E84*(1+I84)</f>
        <v>0</v>
      </c>
      <c r="I84" s="9"/>
      <c r="J84" s="12">
        <f t="shared" si="254"/>
        <v>0</v>
      </c>
      <c r="K84" s="9"/>
      <c r="L84" s="119">
        <f t="shared" si="255"/>
        <v>0</v>
      </c>
      <c r="M84" s="9"/>
      <c r="N84" s="11"/>
      <c r="O84" s="9">
        <f>IFERROR(GETPIVOTDATA("[Measures].[Suma de valor]",base!$A$3,"[IF].[departamento_jerarquia2]","[IF].[departamento_jerarquia2].&amp;["&amp;O$5&amp;"]","[IF].[grupo_analisis]","[IF].[grupo_analisis].&amp;["&amp;$B84&amp;"]","[IF].[mes]","[IF].[mes].&amp;["&amp;O$8&amp;"]","[IF].[ano]","[IF].[ano].&amp;["&amp;O$7&amp;"]","[IF].[informacion]","[IF].[informacion].&amp;["&amp;O$9&amp;"]"),0)-AA84</f>
        <v>0</v>
      </c>
      <c r="P84" s="9">
        <f>IFERROR(GETPIVOTDATA("[Measures].[Suma de valor]",base!$A$3,"[IF].[departamento_jerarquia2]","[IF].[departamento_jerarquia2].&amp;["&amp;P$5&amp;"]","[IF].[grupo_analisis]","[IF].[grupo_analisis].&amp;["&amp;$B84&amp;"]","[IF].[mes]","[IF].[mes].&amp;["&amp;P$8&amp;"]","[IF].[ano]","[IF].[ano].&amp;["&amp;P$7&amp;"]","[IF].[informacion]","[IF].[informacion].&amp;["&amp;P$9&amp;"]"),0)-AB84</f>
        <v>0</v>
      </c>
      <c r="Q84" s="9">
        <f t="shared" si="256"/>
        <v>0</v>
      </c>
      <c r="R84" s="9">
        <f>(IFERROR(GETPIVOTDATA("[Measures].[Suma de valor]",base!$A$3,"[IF].[departamento_jerarquia2]","[IF].[departamento_jerarquia2].&amp;["&amp;R$5&amp;"]","[IF].[grupo_analisis]","[IF].[grupo_analisis].&amp;["&amp;$B84&amp;"]","[IF].[mes]","[IF].[mes].&amp;["&amp;R$8&amp;"]","[IF].[ano]","[IF].[ano].&amp;["&amp;R$7&amp;"]","[IF].[informacion]","[IF].[informacion].&amp;["&amp;R$9&amp;"]"),0)*IF($B$2="Real",1,IF(R$8&lt;6,6/R$8,1))-AD84)*(1+S84)</f>
        <v>0</v>
      </c>
      <c r="S84" s="116">
        <v>0</v>
      </c>
      <c r="T84" s="12">
        <f>Q84*(1+U84)</f>
        <v>0</v>
      </c>
      <c r="U84" s="9"/>
      <c r="V84" s="12">
        <f t="shared" si="257"/>
        <v>0</v>
      </c>
      <c r="W84" s="9"/>
      <c r="X84" s="119">
        <f t="shared" si="258"/>
        <v>0</v>
      </c>
      <c r="Y84" s="9"/>
      <c r="Z84" s="11"/>
      <c r="AA84" s="9">
        <f>IFERROR(GETPIVOTDATA("[Measures].[Suma de valor]",base!$AN$5,"[IF].[grupo_analisis]","[IF].[grupo_analisis].&amp;["&amp;$B84&amp;"]","[IF].[mes]","[IF].[mes].&amp;["&amp;AA$8&amp;"]","[IF].[ano]","[IF].[ano].&amp;["&amp;AA$7&amp;"]","[IF].[informacion]","[IF].[informacion].&amp;["&amp;AA$9&amp;"]"),0)</f>
        <v>0</v>
      </c>
      <c r="AB84" s="9">
        <f>IFERROR(GETPIVOTDATA("[Measures].[Suma de valor]",base!$AN$5,"[IF].[grupo_analisis]","[IF].[grupo_analisis].&amp;["&amp;$B84&amp;"]","[IF].[mes]","[IF].[mes].&amp;["&amp;AB$8&amp;"]","[IF].[ano]","[IF].[ano].&amp;["&amp;AB$7&amp;"]","[IF].[informacion]","[IF].[informacion].&amp;["&amp;AB$9&amp;"]"),0)</f>
        <v>0</v>
      </c>
      <c r="AC84" s="9">
        <f t="shared" si="259"/>
        <v>0</v>
      </c>
      <c r="AD84" s="9">
        <f>(IFERROR(GETPIVOTDATA("[Measures].[Suma de valor]",base!$AN$5,"[IF].[grupo_analisis]","[IF].[grupo_analisis].&amp;["&amp;$B84&amp;"]","[IF].[mes]","[IF].[mes].&amp;["&amp;AD$8&amp;"]","[IF].[ano]","[IF].[ano].&amp;["&amp;AD$7&amp;"]","[IF].[informacion]","[IF].[informacion].&amp;["&amp;AD$9&amp;"]"),0)*IF($B$2="Real",1,IF(AD$8&lt;6,6/AD$8,1)))*(1+S84)</f>
        <v>0</v>
      </c>
      <c r="AE84" s="116">
        <v>0</v>
      </c>
      <c r="AF84" s="12">
        <f>AC84*(1+AG84)</f>
        <v>0</v>
      </c>
      <c r="AG84" s="9"/>
      <c r="AH84" s="12">
        <f t="shared" si="260"/>
        <v>0</v>
      </c>
      <c r="AI84" s="9"/>
      <c r="AJ84" s="119">
        <f t="shared" si="261"/>
        <v>0</v>
      </c>
      <c r="AK84" s="9"/>
      <c r="AL84" s="11"/>
      <c r="AM84" s="9">
        <f>IFERROR(GETPIVOTDATA("[Measures].[Suma de valor]",base!$A$3,"[IF].[departamento_jerarquia2]","[IF].[departamento_jerarquia2].&amp;["&amp;AM$5&amp;"]","[IF].[grupo_analisis]","[IF].[grupo_analisis].&amp;["&amp;$B84&amp;"]","[IF].[mes]","[IF].[mes].&amp;["&amp;AM$8&amp;"]","[IF].[ano]","[IF].[ano].&amp;["&amp;AM$7&amp;"]","[IF].[informacion]","[IF].[informacion].&amp;["&amp;AM$9&amp;"]"),0)-BK84</f>
        <v>0</v>
      </c>
      <c r="AN84" s="9">
        <f>IFERROR(GETPIVOTDATA("[Measures].[Suma de valor]",base!$A$3,"[IF].[departamento_jerarquia2]","[IF].[departamento_jerarquia2].&amp;["&amp;AN$5&amp;"]","[IF].[grupo_analisis]","[IF].[grupo_analisis].&amp;["&amp;$B84&amp;"]","[IF].[mes]","[IF].[mes].&amp;["&amp;AN$8&amp;"]","[IF].[ano]","[IF].[ano].&amp;["&amp;AN$7&amp;"]","[IF].[informacion]","[IF].[informacion].&amp;["&amp;AN$9&amp;"]"),0)-BL84</f>
        <v>0</v>
      </c>
      <c r="AO84" s="9">
        <f t="shared" si="262"/>
        <v>0</v>
      </c>
      <c r="AP84" s="9">
        <f>(IFERROR(GETPIVOTDATA("[Measures].[Suma de valor]",base!$A$3,"[IF].[departamento_jerarquia2]","[IF].[departamento_jerarquia2].&amp;["&amp;AP$5&amp;"]","[IF].[grupo_analisis]","[IF].[grupo_analisis].&amp;["&amp;$B84&amp;"]","[IF].[mes]","[IF].[mes].&amp;["&amp;AP$8&amp;"]","[IF].[ano]","[IF].[ano].&amp;["&amp;AP$7&amp;"]","[IF].[informacion]","[IF].[informacion].&amp;["&amp;AP$9&amp;"]"),0)*IF($B$2="Real",1,IF(AP$8&lt;6,6/AP$8,1))-BN84)*(1+AQ84)</f>
        <v>0</v>
      </c>
      <c r="AQ84" s="116">
        <v>0</v>
      </c>
      <c r="AR84" s="12">
        <f>AO84*(1+AS84)</f>
        <v>0</v>
      </c>
      <c r="AS84" s="9"/>
      <c r="AT84" s="12">
        <f t="shared" si="263"/>
        <v>0</v>
      </c>
      <c r="AU84" s="9"/>
      <c r="AV84" s="119">
        <f t="shared" si="264"/>
        <v>0</v>
      </c>
      <c r="AW84" s="9"/>
      <c r="AX84" s="11"/>
      <c r="AY84" s="9">
        <f>IFERROR(GETPIVOTDATA("[Measures].[Suma de valor]",base!$A$3,"[IF].[departamento_jerarquia2]","[IF].[departamento_jerarquia2].&amp;["&amp;AY$5&amp;"]","[IF].[grupo_analisis]","[IF].[grupo_analisis].&amp;["&amp;$B84&amp;"]","[IF].[mes]","[IF].[mes].&amp;["&amp;AY$8&amp;"]","[IF].[ano]","[IF].[ano].&amp;["&amp;AY$7&amp;"]","[IF].[informacion]","[IF].[informacion].&amp;["&amp;AY$9&amp;"]"),0)</f>
        <v>0</v>
      </c>
      <c r="AZ84" s="9">
        <f>IFERROR(GETPIVOTDATA("[Measures].[Suma de valor]",base!$A$3,"[IF].[departamento_jerarquia2]","[IF].[departamento_jerarquia2].&amp;["&amp;AZ$5&amp;"]","[IF].[grupo_analisis]","[IF].[grupo_analisis].&amp;["&amp;$B84&amp;"]","[IF].[mes]","[IF].[mes].&amp;["&amp;AZ$8&amp;"]","[IF].[ano]","[IF].[ano].&amp;["&amp;AZ$7&amp;"]","[IF].[informacion]","[IF].[informacion].&amp;["&amp;AZ$9&amp;"]"),0)</f>
        <v>0</v>
      </c>
      <c r="BA84" s="9">
        <f t="shared" si="265"/>
        <v>0</v>
      </c>
      <c r="BB84" s="9">
        <f>(IFERROR(GETPIVOTDATA("[Measures].[Suma de valor]",base!$A$3,"[IF].[departamento_jerarquia2]","[IF].[departamento_jerarquia2].&amp;["&amp;BB$5&amp;"]","[IF].[grupo_analisis]","[IF].[grupo_analisis].&amp;["&amp;$B84&amp;"]","[IF].[mes]","[IF].[mes].&amp;["&amp;BB$8&amp;"]","[IF].[ano]","[IF].[ano].&amp;["&amp;BB$7&amp;"]","[IF].[informacion]","[IF].[informacion].&amp;["&amp;BB$9&amp;"]"),0)*IF($B$2="Real",1,IF(BB$8&lt;6,6/BB$8,1)))*(1+BC84)</f>
        <v>0</v>
      </c>
      <c r="BC84" s="116">
        <v>0</v>
      </c>
      <c r="BD84" s="12">
        <f>BA84*(1+BE84)</f>
        <v>0</v>
      </c>
      <c r="BE84" s="9"/>
      <c r="BF84" s="12">
        <f t="shared" si="266"/>
        <v>0</v>
      </c>
      <c r="BG84" s="9"/>
      <c r="BH84" s="119">
        <f t="shared" si="267"/>
        <v>0</v>
      </c>
      <c r="BI84" s="9"/>
      <c r="BJ84" s="11"/>
      <c r="BK84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84&amp;"]"),0)</f>
        <v>0</v>
      </c>
      <c r="BL84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84&amp;"]"),0)</f>
        <v>0</v>
      </c>
      <c r="BM84" s="9">
        <f t="shared" si="268"/>
        <v>0</v>
      </c>
      <c r="BN84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84&amp;"]"),0)*IF($B$2="Real",1,IF(BN$8&lt;6,6/BN$8,1)))*(1+BO84)</f>
        <v>0</v>
      </c>
      <c r="BO84" s="116">
        <v>0</v>
      </c>
      <c r="BP84" s="12">
        <f>BM84*(1+BQ84)</f>
        <v>0</v>
      </c>
      <c r="BQ84" s="9"/>
      <c r="BR84" s="12">
        <f t="shared" si="269"/>
        <v>0</v>
      </c>
      <c r="BS84" s="9"/>
      <c r="BT84" s="119">
        <f t="shared" si="270"/>
        <v>0</v>
      </c>
      <c r="BU84" s="9"/>
      <c r="BV84" s="11"/>
      <c r="BW84" s="9">
        <f>IFERROR(GETPIVOTDATA("[Measures].[Suma de valor]",base!$A$3,"[IF].[departamento_jerarquia2]","[IF].[departamento_jerarquia2].&amp;["&amp;BW$5&amp;"]","[IF].[grupo_analisis]","[IF].[grupo_analisis].&amp;["&amp;$B84&amp;"]","[IF].[mes]","[IF].[mes].&amp;["&amp;BW$8&amp;"]","[IF].[ano]","[IF].[ano].&amp;["&amp;BW$7&amp;"]","[IF].[informacion]","[IF].[informacion].&amp;["&amp;BW$9&amp;"]"),0)</f>
        <v>0</v>
      </c>
      <c r="BX84" s="9">
        <f>IFERROR(GETPIVOTDATA("[Measures].[Suma de valor]",base!$A$3,"[IF].[departamento_jerarquia2]","[IF].[departamento_jerarquia2].&amp;["&amp;BX$5&amp;"]","[IF].[grupo_analisis]","[IF].[grupo_analisis].&amp;["&amp;$B84&amp;"]","[IF].[mes]","[IF].[mes].&amp;["&amp;BX$8&amp;"]","[IF].[ano]","[IF].[ano].&amp;["&amp;BX$7&amp;"]","[IF].[informacion]","[IF].[informacion].&amp;["&amp;BX$9&amp;"]"),0)</f>
        <v>0</v>
      </c>
      <c r="BY84" s="9">
        <f t="shared" si="271"/>
        <v>0</v>
      </c>
      <c r="BZ84" s="9">
        <f>(IFERROR(GETPIVOTDATA("[Measures].[Suma de valor]",base!$A$3,"[IF].[departamento_jerarquia2]","[IF].[departamento_jerarquia2].&amp;["&amp;BZ$5&amp;"]","[IF].[grupo_analisis]","[IF].[grupo_analisis].&amp;["&amp;$B84&amp;"]","[IF].[mes]","[IF].[mes].&amp;["&amp;BZ$8&amp;"]","[IF].[ano]","[IF].[ano].&amp;["&amp;BZ$7&amp;"]","[IF].[informacion]","[IF].[informacion].&amp;["&amp;BZ$9&amp;"]"),0)*IF($B$2="Real",1,IF(BZ$8&lt;6,6/BZ$8,1)))*(1+CA84)</f>
        <v>0</v>
      </c>
      <c r="CA84" s="116">
        <v>0</v>
      </c>
      <c r="CB84" s="12">
        <f>BY84*(1+CC84)</f>
        <v>0</v>
      </c>
      <c r="CC84" s="9"/>
      <c r="CD84" s="12">
        <f t="shared" si="272"/>
        <v>0</v>
      </c>
      <c r="CE84" s="9"/>
      <c r="CF84" s="119">
        <f t="shared" si="273"/>
        <v>0</v>
      </c>
      <c r="CG84" s="9"/>
      <c r="CH84" s="11"/>
      <c r="CI84" s="9"/>
      <c r="CJ84" s="9"/>
      <c r="CK84" s="9"/>
      <c r="CL84" s="9"/>
      <c r="CM84" s="116"/>
      <c r="CN84" s="12"/>
      <c r="CO84" s="9"/>
      <c r="CP84" s="12"/>
      <c r="CQ84" s="9"/>
      <c r="CR84" s="119"/>
      <c r="CS84" s="9"/>
      <c r="CT84" s="11"/>
      <c r="CU84" s="9"/>
      <c r="CV84" s="9"/>
      <c r="CW84" s="9"/>
      <c r="CX84" s="9"/>
      <c r="CY84" s="116"/>
      <c r="CZ84" s="12"/>
      <c r="DA84" s="9"/>
      <c r="DB84" s="12"/>
      <c r="DC84" s="9"/>
      <c r="DD84" s="119"/>
      <c r="DE84" s="9"/>
      <c r="DF84" s="11"/>
      <c r="DG84" s="9">
        <f t="shared" si="274"/>
        <v>0</v>
      </c>
      <c r="DH84" s="12">
        <f t="shared" si="275"/>
        <v>0</v>
      </c>
      <c r="DI84" s="119">
        <f t="shared" si="276"/>
        <v>0</v>
      </c>
      <c r="DK84" s="9">
        <f t="shared" si="277"/>
        <v>0</v>
      </c>
      <c r="DL84" s="12">
        <f t="shared" si="277"/>
        <v>0</v>
      </c>
      <c r="DM84" s="119">
        <f t="shared" si="277"/>
        <v>0</v>
      </c>
    </row>
    <row r="85" spans="2:117" x14ac:dyDescent="0.25">
      <c r="B85" t="s">
        <v>166</v>
      </c>
      <c r="C85" s="9">
        <f>IFERROR(GETPIVOTDATA("[Measures].[Suma de valor]",base!$A$3,"[IF].[departamento_jerarquia2]","[IF].[departamento_jerarquia2].&amp;["&amp;C$5&amp;"]","[IF].[grupo_analisis]","[IF].[grupo_analisis].&amp;["&amp;$B85&amp;"]","[IF].[mes]","[IF].[mes].&amp;["&amp;C$8&amp;"]","[IF].[ano]","[IF].[ano].&amp;["&amp;C$7&amp;"]","[IF].[informacion]","[IF].[informacion].&amp;["&amp;C$9&amp;"]"),0)</f>
        <v>0</v>
      </c>
      <c r="D85" s="9">
        <f>IFERROR(GETPIVOTDATA("[Measures].[Suma de valor]",base!$A$3,"[IF].[departamento_jerarquia2]","[IF].[departamento_jerarquia2].&amp;["&amp;D$5&amp;"]","[IF].[grupo_analisis]","[IF].[grupo_analisis].&amp;["&amp;$B85&amp;"]","[IF].[mes]","[IF].[mes].&amp;["&amp;D$8&amp;"]","[IF].[ano]","[IF].[ano].&amp;["&amp;D$7&amp;"]","[IF].[informacion]","[IF].[informacion].&amp;["&amp;D$9&amp;"]"),0)</f>
        <v>0</v>
      </c>
      <c r="E85" s="9">
        <f t="shared" si="253"/>
        <v>0</v>
      </c>
      <c r="F85" s="9">
        <f>(IFERROR(GETPIVOTDATA("[Measures].[Suma de valor]",base!$A$3,"[IF].[departamento_jerarquia2]","[IF].[departamento_jerarquia2].&amp;["&amp;F$5&amp;"]","[IF].[grupo_analisis]","[IF].[grupo_analisis].&amp;["&amp;$B85&amp;"]","[IF].[mes]","[IF].[mes].&amp;["&amp;F$8&amp;"]","[IF].[ano]","[IF].[ano].&amp;["&amp;F$7&amp;"]","[IF].[informacion]","[IF].[informacion].&amp;["&amp;F$9&amp;"]"),0)*IF($B$2="Real",1,IF(F$8&lt;6,6/F$8,1)))*(1+G85)</f>
        <v>0</v>
      </c>
      <c r="G85" s="116">
        <v>0</v>
      </c>
      <c r="H85" s="12">
        <f>E85*(1+I85)</f>
        <v>0</v>
      </c>
      <c r="I85" s="9"/>
      <c r="J85" s="12">
        <f t="shared" si="254"/>
        <v>0</v>
      </c>
      <c r="K85" s="9"/>
      <c r="L85" s="119">
        <f t="shared" si="255"/>
        <v>0</v>
      </c>
      <c r="M85" s="9"/>
      <c r="N85" s="11"/>
      <c r="O85" s="9">
        <f>IFERROR(GETPIVOTDATA("[Measures].[Suma de valor]",base!$A$3,"[IF].[departamento_jerarquia2]","[IF].[departamento_jerarquia2].&amp;["&amp;O$5&amp;"]","[IF].[grupo_analisis]","[IF].[grupo_analisis].&amp;["&amp;$B85&amp;"]","[IF].[mes]","[IF].[mes].&amp;["&amp;O$8&amp;"]","[IF].[ano]","[IF].[ano].&amp;["&amp;O$7&amp;"]","[IF].[informacion]","[IF].[informacion].&amp;["&amp;O$9&amp;"]"),0)-AA85</f>
        <v>0</v>
      </c>
      <c r="P85" s="9">
        <f>IFERROR(GETPIVOTDATA("[Measures].[Suma de valor]",base!$A$3,"[IF].[departamento_jerarquia2]","[IF].[departamento_jerarquia2].&amp;["&amp;P$5&amp;"]","[IF].[grupo_analisis]","[IF].[grupo_analisis].&amp;["&amp;$B85&amp;"]","[IF].[mes]","[IF].[mes].&amp;["&amp;P$8&amp;"]","[IF].[ano]","[IF].[ano].&amp;["&amp;P$7&amp;"]","[IF].[informacion]","[IF].[informacion].&amp;["&amp;P$9&amp;"]"),0)-AB85</f>
        <v>0</v>
      </c>
      <c r="Q85" s="9">
        <f t="shared" si="256"/>
        <v>0</v>
      </c>
      <c r="R85" s="9">
        <f>(IFERROR(GETPIVOTDATA("[Measures].[Suma de valor]",base!$A$3,"[IF].[departamento_jerarquia2]","[IF].[departamento_jerarquia2].&amp;["&amp;R$5&amp;"]","[IF].[grupo_analisis]","[IF].[grupo_analisis].&amp;["&amp;$B85&amp;"]","[IF].[mes]","[IF].[mes].&amp;["&amp;R$8&amp;"]","[IF].[ano]","[IF].[ano].&amp;["&amp;R$7&amp;"]","[IF].[informacion]","[IF].[informacion].&amp;["&amp;R$9&amp;"]"),0)*IF($B$2="Real",1,IF(R$8&lt;6,6/R$8,1))-AD85)*(1+S85)</f>
        <v>0</v>
      </c>
      <c r="S85" s="116">
        <v>0</v>
      </c>
      <c r="T85" s="12">
        <f>Q85*(1+U85)</f>
        <v>0</v>
      </c>
      <c r="U85" s="9"/>
      <c r="V85" s="12">
        <f t="shared" si="257"/>
        <v>0</v>
      </c>
      <c r="W85" s="9"/>
      <c r="X85" s="119">
        <f t="shared" si="258"/>
        <v>0</v>
      </c>
      <c r="Y85" s="9"/>
      <c r="Z85" s="11"/>
      <c r="AA85" s="9">
        <f>IFERROR(GETPIVOTDATA("[Measures].[Suma de valor]",base!$AN$5,"[IF].[grupo_analisis]","[IF].[grupo_analisis].&amp;["&amp;$B85&amp;"]","[IF].[mes]","[IF].[mes].&amp;["&amp;AA$8&amp;"]","[IF].[ano]","[IF].[ano].&amp;["&amp;AA$7&amp;"]","[IF].[informacion]","[IF].[informacion].&amp;["&amp;AA$9&amp;"]"),0)</f>
        <v>0</v>
      </c>
      <c r="AB85" s="9">
        <f>IFERROR(GETPIVOTDATA("[Measures].[Suma de valor]",base!$AN$5,"[IF].[grupo_analisis]","[IF].[grupo_analisis].&amp;["&amp;$B85&amp;"]","[IF].[mes]","[IF].[mes].&amp;["&amp;AB$8&amp;"]","[IF].[ano]","[IF].[ano].&amp;["&amp;AB$7&amp;"]","[IF].[informacion]","[IF].[informacion].&amp;["&amp;AB$9&amp;"]"),0)</f>
        <v>0</v>
      </c>
      <c r="AC85" s="9">
        <f t="shared" si="259"/>
        <v>0</v>
      </c>
      <c r="AD85" s="9">
        <f>(IFERROR(GETPIVOTDATA("[Measures].[Suma de valor]",base!$AN$5,"[IF].[grupo_analisis]","[IF].[grupo_analisis].&amp;["&amp;$B85&amp;"]","[IF].[mes]","[IF].[mes].&amp;["&amp;AD$8&amp;"]","[IF].[ano]","[IF].[ano].&amp;["&amp;AD$7&amp;"]","[IF].[informacion]","[IF].[informacion].&amp;["&amp;AD$9&amp;"]"),0)*IF($B$2="Real",1,IF(AD$8&lt;6,6/AD$8,1)))*(1+S85)</f>
        <v>0</v>
      </c>
      <c r="AE85" s="116">
        <v>0</v>
      </c>
      <c r="AF85" s="12">
        <f>AC85*(1+AG85)</f>
        <v>0</v>
      </c>
      <c r="AG85" s="9"/>
      <c r="AH85" s="12">
        <f t="shared" si="260"/>
        <v>0</v>
      </c>
      <c r="AI85" s="9"/>
      <c r="AJ85" s="119">
        <f t="shared" si="261"/>
        <v>0</v>
      </c>
      <c r="AK85" s="9"/>
      <c r="AL85" s="11"/>
      <c r="AM85" s="9">
        <f>IFERROR(GETPIVOTDATA("[Measures].[Suma de valor]",base!$A$3,"[IF].[departamento_jerarquia2]","[IF].[departamento_jerarquia2].&amp;["&amp;AM$5&amp;"]","[IF].[grupo_analisis]","[IF].[grupo_analisis].&amp;["&amp;$B85&amp;"]","[IF].[mes]","[IF].[mes].&amp;["&amp;AM$8&amp;"]","[IF].[ano]","[IF].[ano].&amp;["&amp;AM$7&amp;"]","[IF].[informacion]","[IF].[informacion].&amp;["&amp;AM$9&amp;"]"),0)-BK85</f>
        <v>0</v>
      </c>
      <c r="AN85" s="9">
        <f>IFERROR(GETPIVOTDATA("[Measures].[Suma de valor]",base!$A$3,"[IF].[departamento_jerarquia2]","[IF].[departamento_jerarquia2].&amp;["&amp;AN$5&amp;"]","[IF].[grupo_analisis]","[IF].[grupo_analisis].&amp;["&amp;$B85&amp;"]","[IF].[mes]","[IF].[mes].&amp;["&amp;AN$8&amp;"]","[IF].[ano]","[IF].[ano].&amp;["&amp;AN$7&amp;"]","[IF].[informacion]","[IF].[informacion].&amp;["&amp;AN$9&amp;"]"),0)-BL85</f>
        <v>0</v>
      </c>
      <c r="AO85" s="9">
        <f t="shared" si="262"/>
        <v>0</v>
      </c>
      <c r="AP85" s="9">
        <f>(IFERROR(GETPIVOTDATA("[Measures].[Suma de valor]",base!$A$3,"[IF].[departamento_jerarquia2]","[IF].[departamento_jerarquia2].&amp;["&amp;AP$5&amp;"]","[IF].[grupo_analisis]","[IF].[grupo_analisis].&amp;["&amp;$B85&amp;"]","[IF].[mes]","[IF].[mes].&amp;["&amp;AP$8&amp;"]","[IF].[ano]","[IF].[ano].&amp;["&amp;AP$7&amp;"]","[IF].[informacion]","[IF].[informacion].&amp;["&amp;AP$9&amp;"]"),0)*IF($B$2="Real",1,IF(AP$8&lt;6,6/AP$8,1))-BN85)*(1+AQ85)</f>
        <v>0</v>
      </c>
      <c r="AQ85" s="116">
        <v>0</v>
      </c>
      <c r="AR85" s="12">
        <f>AO85*(1+AS85)</f>
        <v>0</v>
      </c>
      <c r="AS85" s="9"/>
      <c r="AT85" s="12">
        <f t="shared" si="263"/>
        <v>0</v>
      </c>
      <c r="AU85" s="9"/>
      <c r="AV85" s="119">
        <f t="shared" si="264"/>
        <v>0</v>
      </c>
      <c r="AW85" s="9"/>
      <c r="AX85" s="11"/>
      <c r="AY85" s="9">
        <f>IFERROR(GETPIVOTDATA("[Measures].[Suma de valor]",base!$A$3,"[IF].[departamento_jerarquia2]","[IF].[departamento_jerarquia2].&amp;["&amp;AY$5&amp;"]","[IF].[grupo_analisis]","[IF].[grupo_analisis].&amp;["&amp;$B85&amp;"]","[IF].[mes]","[IF].[mes].&amp;["&amp;AY$8&amp;"]","[IF].[ano]","[IF].[ano].&amp;["&amp;AY$7&amp;"]","[IF].[informacion]","[IF].[informacion].&amp;["&amp;AY$9&amp;"]"),0)</f>
        <v>0</v>
      </c>
      <c r="AZ85" s="9">
        <f>IFERROR(GETPIVOTDATA("[Measures].[Suma de valor]",base!$A$3,"[IF].[departamento_jerarquia2]","[IF].[departamento_jerarquia2].&amp;["&amp;AZ$5&amp;"]","[IF].[grupo_analisis]","[IF].[grupo_analisis].&amp;["&amp;$B85&amp;"]","[IF].[mes]","[IF].[mes].&amp;["&amp;AZ$8&amp;"]","[IF].[ano]","[IF].[ano].&amp;["&amp;AZ$7&amp;"]","[IF].[informacion]","[IF].[informacion].&amp;["&amp;AZ$9&amp;"]"),0)</f>
        <v>0</v>
      </c>
      <c r="BA85" s="9">
        <f t="shared" si="265"/>
        <v>0</v>
      </c>
      <c r="BB85" s="9">
        <f>(IFERROR(GETPIVOTDATA("[Measures].[Suma de valor]",base!$A$3,"[IF].[departamento_jerarquia2]","[IF].[departamento_jerarquia2].&amp;["&amp;BB$5&amp;"]","[IF].[grupo_analisis]","[IF].[grupo_analisis].&amp;["&amp;$B85&amp;"]","[IF].[mes]","[IF].[mes].&amp;["&amp;BB$8&amp;"]","[IF].[ano]","[IF].[ano].&amp;["&amp;BB$7&amp;"]","[IF].[informacion]","[IF].[informacion].&amp;["&amp;BB$9&amp;"]"),0)*IF($B$2="Real",1,IF(BB$8&lt;6,6/BB$8,1)))*(1+BC85)</f>
        <v>0</v>
      </c>
      <c r="BC85" s="116">
        <v>0</v>
      </c>
      <c r="BD85" s="12">
        <f>BA85*(1+BE85)</f>
        <v>0</v>
      </c>
      <c r="BE85" s="9"/>
      <c r="BF85" s="12">
        <f t="shared" si="266"/>
        <v>0</v>
      </c>
      <c r="BG85" s="9"/>
      <c r="BH85" s="119">
        <f t="shared" si="267"/>
        <v>0</v>
      </c>
      <c r="BI85" s="9"/>
      <c r="BJ85" s="11"/>
      <c r="BK85" s="9">
        <f>IFERROR(GETPIVOTDATA("[Measures].[Suma de valor]",base!$U$4,"[IF].[mes]","[IF].[mes].&amp;["&amp;BK$8&amp;"]","[IF].[ano]","[IF].[ano].&amp;["&amp;BK$7&amp;"]","[IF].[informacion]","[IF].[informacion].&amp;["&amp;BK$9&amp;"]","[IF].[departamento_hijo]","[IF].[departamento_hijo].&amp;["&amp;BK$5&amp;"]","[IF].[grupo_analisis]","[IF].[grupo_analisis].&amp;["&amp;$B85&amp;"]"),0)</f>
        <v>0</v>
      </c>
      <c r="BL85" s="9">
        <f>IFERROR(GETPIVOTDATA("[Measures].[Suma de valor]",base!$U$4,"[IF].[mes]","[IF].[mes].&amp;["&amp;BL$8&amp;"]","[IF].[ano]","[IF].[ano].&amp;["&amp;BL$7&amp;"]","[IF].[informacion]","[IF].[informacion].&amp;["&amp;BL$9&amp;"]","[IF].[departamento_hijo]","[IF].[departamento_hijo].&amp;["&amp;BL$5&amp;"]","[IF].[grupo_analisis]","[IF].[grupo_analisis].&amp;["&amp;$B85&amp;"]"),0)</f>
        <v>0</v>
      </c>
      <c r="BM85" s="9">
        <f t="shared" si="268"/>
        <v>0</v>
      </c>
      <c r="BN85" s="9">
        <f>(IFERROR(GETPIVOTDATA("[Measures].[Suma de valor]",base!$U$4,"[IF].[mes]","[IF].[mes].&amp;["&amp;BN$8&amp;"]","[IF].[ano]","[IF].[ano].&amp;["&amp;BN$7&amp;"]","[IF].[informacion]","[IF].[informacion].&amp;["&amp;BN$9&amp;"]","[IF].[departamento_hijo]","[IF].[departamento_hijo].&amp;["&amp;BN$5&amp;"]","[IF].[grupo_analisis]","[IF].[grupo_analisis].&amp;["&amp;$B85&amp;"]"),0)*IF($B$2="Real",1,IF(BN$8&lt;6,6/BN$8,1)))*(1+BO85)</f>
        <v>0</v>
      </c>
      <c r="BO85" s="116">
        <v>0</v>
      </c>
      <c r="BP85" s="12">
        <f>BM85*(1+BQ85)</f>
        <v>0</v>
      </c>
      <c r="BQ85" s="9"/>
      <c r="BR85" s="12">
        <f t="shared" si="269"/>
        <v>0</v>
      </c>
      <c r="BS85" s="9"/>
      <c r="BT85" s="119">
        <f t="shared" si="270"/>
        <v>0</v>
      </c>
      <c r="BU85" s="9"/>
      <c r="BV85" s="11"/>
      <c r="BW85" s="9">
        <f>IFERROR(GETPIVOTDATA("[Measures].[Suma de valor]",base!$A$3,"[IF].[departamento_jerarquia2]","[IF].[departamento_jerarquia2].&amp;["&amp;BW$5&amp;"]","[IF].[grupo_analisis]","[IF].[grupo_analisis].&amp;["&amp;$B85&amp;"]","[IF].[mes]","[IF].[mes].&amp;["&amp;BW$8&amp;"]","[IF].[ano]","[IF].[ano].&amp;["&amp;BW$7&amp;"]","[IF].[informacion]","[IF].[informacion].&amp;["&amp;BW$9&amp;"]"),0)</f>
        <v>0</v>
      </c>
      <c r="BX85" s="9">
        <f>IFERROR(GETPIVOTDATA("[Measures].[Suma de valor]",base!$A$3,"[IF].[departamento_jerarquia2]","[IF].[departamento_jerarquia2].&amp;["&amp;BX$5&amp;"]","[IF].[grupo_analisis]","[IF].[grupo_analisis].&amp;["&amp;$B85&amp;"]","[IF].[mes]","[IF].[mes].&amp;["&amp;BX$8&amp;"]","[IF].[ano]","[IF].[ano].&amp;["&amp;BX$7&amp;"]","[IF].[informacion]","[IF].[informacion].&amp;["&amp;BX$9&amp;"]"),0)</f>
        <v>0</v>
      </c>
      <c r="BY85" s="9">
        <f t="shared" si="271"/>
        <v>0</v>
      </c>
      <c r="BZ85" s="9">
        <f>(IFERROR(GETPIVOTDATA("[Measures].[Suma de valor]",base!$A$3,"[IF].[departamento_jerarquia2]","[IF].[departamento_jerarquia2].&amp;["&amp;BZ$5&amp;"]","[IF].[grupo_analisis]","[IF].[grupo_analisis].&amp;["&amp;$B85&amp;"]","[IF].[mes]","[IF].[mes].&amp;["&amp;BZ$8&amp;"]","[IF].[ano]","[IF].[ano].&amp;["&amp;BZ$7&amp;"]","[IF].[informacion]","[IF].[informacion].&amp;["&amp;BZ$9&amp;"]"),0)*IF($B$2="Real",1,IF(BZ$8&lt;6,6/BZ$8,1)))*(1+CA85)</f>
        <v>0</v>
      </c>
      <c r="CA85" s="116">
        <v>0</v>
      </c>
      <c r="CB85" s="12">
        <f>BY85*(1+CC85)</f>
        <v>0</v>
      </c>
      <c r="CC85" s="9"/>
      <c r="CD85" s="12">
        <f t="shared" si="272"/>
        <v>0</v>
      </c>
      <c r="CE85" s="9"/>
      <c r="CF85" s="119">
        <f t="shared" si="273"/>
        <v>0</v>
      </c>
      <c r="CG85" s="9"/>
      <c r="CH85" s="11"/>
      <c r="CI85" s="9"/>
      <c r="CJ85" s="9"/>
      <c r="CK85" s="9"/>
      <c r="CL85" s="9"/>
      <c r="CM85" s="116"/>
      <c r="CN85" s="12"/>
      <c r="CO85" s="9"/>
      <c r="CP85" s="12"/>
      <c r="CQ85" s="9"/>
      <c r="CR85" s="119"/>
      <c r="CS85" s="9"/>
      <c r="CT85" s="11"/>
      <c r="CU85" s="9"/>
      <c r="CV85" s="9"/>
      <c r="CW85" s="9"/>
      <c r="CX85" s="9"/>
      <c r="CY85" s="116"/>
      <c r="CZ85" s="12"/>
      <c r="DA85" s="9"/>
      <c r="DB85" s="12"/>
      <c r="DC85" s="9"/>
      <c r="DD85" s="119"/>
      <c r="DE85" s="9"/>
      <c r="DF85" s="11"/>
      <c r="DG85" s="9">
        <f t="shared" si="274"/>
        <v>0</v>
      </c>
      <c r="DH85" s="12">
        <f t="shared" si="275"/>
        <v>0</v>
      </c>
      <c r="DI85" s="119">
        <f t="shared" si="276"/>
        <v>0</v>
      </c>
      <c r="DK85" s="9">
        <f t="shared" si="277"/>
        <v>0</v>
      </c>
      <c r="DL85" s="12">
        <f t="shared" si="277"/>
        <v>0</v>
      </c>
      <c r="DM85" s="119">
        <f t="shared" si="277"/>
        <v>0</v>
      </c>
    </row>
    <row r="86" spans="2:117" x14ac:dyDescent="0.25">
      <c r="B86" s="14" t="s">
        <v>210</v>
      </c>
      <c r="C86" s="15">
        <f>SUM(C83:C85)</f>
        <v>0</v>
      </c>
      <c r="D86" s="15">
        <f>SUM(D83:D85)</f>
        <v>0</v>
      </c>
      <c r="E86" s="15">
        <f>SUM(E83:E85)</f>
        <v>0</v>
      </c>
      <c r="F86" s="15">
        <f>SUM(F83:F85)</f>
        <v>0</v>
      </c>
      <c r="G86" s="15"/>
      <c r="H86" s="15">
        <f>SUM(H83:H85)</f>
        <v>0</v>
      </c>
      <c r="I86" s="15"/>
      <c r="J86" s="15">
        <f>SUM(J83:J85)</f>
        <v>0</v>
      </c>
      <c r="K86" s="15"/>
      <c r="L86" s="15">
        <f>SUM(L83:L85)</f>
        <v>0</v>
      </c>
      <c r="M86" s="15"/>
      <c r="N86" s="112"/>
      <c r="O86" s="15">
        <f t="shared" ref="O86:DI86" si="278">SUM(O83:O85)</f>
        <v>0</v>
      </c>
      <c r="P86" s="15">
        <f t="shared" ref="P86" si="279">SUM(P83:P85)</f>
        <v>0</v>
      </c>
      <c r="Q86" s="15">
        <f>SUM(Q83:Q85)</f>
        <v>0</v>
      </c>
      <c r="R86" s="15">
        <f>SUM(R83:R85)</f>
        <v>0</v>
      </c>
      <c r="S86" s="15"/>
      <c r="T86" s="15">
        <f>SUM(T83:T85)</f>
        <v>0</v>
      </c>
      <c r="U86" s="15"/>
      <c r="V86" s="15">
        <f>SUM(V83:V85)</f>
        <v>0</v>
      </c>
      <c r="W86" s="15"/>
      <c r="X86" s="15">
        <f>SUM(X83:X85)</f>
        <v>0</v>
      </c>
      <c r="Y86" s="15"/>
      <c r="Z86" s="112"/>
      <c r="AA86" s="15">
        <f t="shared" si="278"/>
        <v>0</v>
      </c>
      <c r="AB86" s="15">
        <f t="shared" ref="AB86" si="280">SUM(AB83:AB85)</f>
        <v>0</v>
      </c>
      <c r="AC86" s="15">
        <f>SUM(AC83:AC85)</f>
        <v>0</v>
      </c>
      <c r="AD86" s="15">
        <f t="shared" ref="AD86" si="281">SUM(AD83:AD85)</f>
        <v>0.106763496</v>
      </c>
      <c r="AE86" s="15"/>
      <c r="AF86" s="15">
        <f>SUM(AF83:AF85)</f>
        <v>0</v>
      </c>
      <c r="AG86" s="15"/>
      <c r="AH86" s="15">
        <f>SUM(AH83:AH85)</f>
        <v>0.106763496</v>
      </c>
      <c r="AI86" s="15"/>
      <c r="AJ86" s="15">
        <f>SUM(AJ83:AJ85)</f>
        <v>0.106763496</v>
      </c>
      <c r="AK86" s="15"/>
      <c r="AL86" s="112"/>
      <c r="AM86" s="15">
        <f t="shared" si="278"/>
        <v>0</v>
      </c>
      <c r="AN86" s="15">
        <f t="shared" ref="AN86" si="282">SUM(AN83:AN85)</f>
        <v>0</v>
      </c>
      <c r="AO86" s="15">
        <f>SUM(AO83:AO85)</f>
        <v>0</v>
      </c>
      <c r="AP86" s="15">
        <f>SUM(AP83:AP85)</f>
        <v>0</v>
      </c>
      <c r="AQ86" s="15"/>
      <c r="AR86" s="15">
        <f>SUM(AR83:AR85)</f>
        <v>0</v>
      </c>
      <c r="AS86" s="15"/>
      <c r="AT86" s="15">
        <f>SUM(AT83:AT85)</f>
        <v>0</v>
      </c>
      <c r="AU86" s="15"/>
      <c r="AV86" s="15">
        <f>SUM(AV83:AV85)</f>
        <v>0</v>
      </c>
      <c r="AW86" s="15"/>
      <c r="AX86" s="112"/>
      <c r="AY86" s="15">
        <f t="shared" si="278"/>
        <v>0</v>
      </c>
      <c r="AZ86" s="15">
        <f t="shared" ref="AZ86" si="283">SUM(AZ83:AZ85)</f>
        <v>0</v>
      </c>
      <c r="BA86" s="15">
        <f>SUM(BA83:BA85)</f>
        <v>0</v>
      </c>
      <c r="BB86" s="15">
        <f>SUM(BB83:BB85)</f>
        <v>0</v>
      </c>
      <c r="BC86" s="15"/>
      <c r="BD86" s="15">
        <f>SUM(BD83:BD85)</f>
        <v>0</v>
      </c>
      <c r="BE86" s="15"/>
      <c r="BF86" s="15">
        <f>SUM(BF83:BF85)</f>
        <v>0</v>
      </c>
      <c r="BG86" s="15"/>
      <c r="BH86" s="15">
        <f>SUM(BH83:BH85)</f>
        <v>0</v>
      </c>
      <c r="BI86" s="15"/>
      <c r="BJ86" s="112"/>
      <c r="BK86" s="15">
        <f t="shared" si="278"/>
        <v>0</v>
      </c>
      <c r="BL86" s="15">
        <f t="shared" ref="BL86" si="284">SUM(BL83:BL85)</f>
        <v>0</v>
      </c>
      <c r="BM86" s="15">
        <f>SUM(BM83:BM85)</f>
        <v>0</v>
      </c>
      <c r="BN86" s="15">
        <f t="shared" ref="BN86" si="285">SUM(BN83:BN85)</f>
        <v>0</v>
      </c>
      <c r="BO86" s="15"/>
      <c r="BP86" s="15">
        <f>SUM(BP83:BP85)</f>
        <v>0</v>
      </c>
      <c r="BQ86" s="15"/>
      <c r="BR86" s="15">
        <f>SUM(BR83:BR85)</f>
        <v>0</v>
      </c>
      <c r="BS86" s="15"/>
      <c r="BT86" s="15">
        <f>SUM(BT83:BT85)</f>
        <v>0</v>
      </c>
      <c r="BU86" s="15"/>
      <c r="BV86" s="112"/>
      <c r="BW86" s="15">
        <f t="shared" si="278"/>
        <v>0</v>
      </c>
      <c r="BX86" s="15">
        <f t="shared" ref="BX86" si="286">SUM(BX83:BX85)</f>
        <v>0</v>
      </c>
      <c r="BY86" s="15">
        <f>SUM(BY83:BY85)</f>
        <v>0</v>
      </c>
      <c r="BZ86" s="15">
        <f>SUM(BZ83:BZ85)</f>
        <v>1.5470575679999998</v>
      </c>
      <c r="CA86" s="15"/>
      <c r="CB86" s="15">
        <f>SUM(CB83:CB85)</f>
        <v>0</v>
      </c>
      <c r="CC86" s="15"/>
      <c r="CD86" s="15">
        <f>SUM(CD83:CD85)</f>
        <v>1.5470575679999998</v>
      </c>
      <c r="CE86" s="15"/>
      <c r="CF86" s="15">
        <f>SUM(CF83:CF85)</f>
        <v>1.5470575679999998</v>
      </c>
      <c r="CG86" s="15"/>
      <c r="CH86" s="112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12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12"/>
      <c r="DG86" s="15">
        <f t="shared" si="278"/>
        <v>0</v>
      </c>
      <c r="DH86" s="16">
        <f t="shared" si="278"/>
        <v>1.6538210639999997</v>
      </c>
      <c r="DI86" s="121">
        <f t="shared" si="278"/>
        <v>1.6538210639999997</v>
      </c>
      <c r="DK86" s="15">
        <f t="shared" ref="DK86" si="287">SUM(DK83:DK85)</f>
        <v>0</v>
      </c>
      <c r="DL86" s="16">
        <f t="shared" ref="DL86" si="288">SUM(DL83:DL85)</f>
        <v>1.6538210639999997</v>
      </c>
      <c r="DM86" s="121">
        <f t="shared" ref="DM86" si="289">SUM(DM83:DM85)</f>
        <v>1.6538210639999997</v>
      </c>
    </row>
    <row r="88" spans="2:117" x14ac:dyDescent="0.25">
      <c r="B88" s="14" t="s">
        <v>211</v>
      </c>
      <c r="C88" s="15">
        <f>C81-C86</f>
        <v>0</v>
      </c>
      <c r="D88" s="15">
        <f>D81-D86</f>
        <v>0</v>
      </c>
      <c r="E88" s="15">
        <f>E81-E86</f>
        <v>0</v>
      </c>
      <c r="F88" s="15">
        <f>F81-F86</f>
        <v>0</v>
      </c>
      <c r="G88" s="15"/>
      <c r="H88" s="15">
        <f>H81-H86</f>
        <v>0</v>
      </c>
      <c r="I88" s="15"/>
      <c r="J88" s="15">
        <f>J81-J86</f>
        <v>0</v>
      </c>
      <c r="K88" s="15"/>
      <c r="L88" s="15">
        <f>L81-L86</f>
        <v>0</v>
      </c>
      <c r="M88" s="15"/>
      <c r="N88" s="112"/>
      <c r="O88" s="15">
        <f t="shared" ref="O88:DG88" si="290">O81-O86</f>
        <v>0</v>
      </c>
      <c r="P88" s="15">
        <f t="shared" ref="P88" si="291">P81-P86</f>
        <v>0</v>
      </c>
      <c r="Q88" s="15">
        <f>Q81-Q86</f>
        <v>0</v>
      </c>
      <c r="R88" s="15">
        <f>R81-R86</f>
        <v>3.1996799999999936E-2</v>
      </c>
      <c r="S88" s="15"/>
      <c r="T88" s="15">
        <f>T81-T86</f>
        <v>0</v>
      </c>
      <c r="U88" s="15"/>
      <c r="V88" s="15">
        <f>V81-V86</f>
        <v>3.1996799999999936E-2</v>
      </c>
      <c r="W88" s="15"/>
      <c r="X88" s="15">
        <f>X81-X86</f>
        <v>3.1996799999999936E-2</v>
      </c>
      <c r="Y88" s="15"/>
      <c r="Z88" s="112"/>
      <c r="AA88" s="15">
        <f t="shared" si="290"/>
        <v>0</v>
      </c>
      <c r="AB88" s="15">
        <f t="shared" ref="AB88" si="292">AB81-AB86</f>
        <v>0</v>
      </c>
      <c r="AC88" s="15">
        <f>AC81-AC86</f>
        <v>0</v>
      </c>
      <c r="AD88" s="15">
        <f t="shared" ref="AD88" si="293">AD81-AD86</f>
        <v>3.0327761039999999</v>
      </c>
      <c r="AE88" s="15"/>
      <c r="AF88" s="15">
        <f>AF81-AF86</f>
        <v>0</v>
      </c>
      <c r="AG88" s="15"/>
      <c r="AH88" s="15">
        <f>AH81-AH86</f>
        <v>3.3932365039999999</v>
      </c>
      <c r="AI88" s="15"/>
      <c r="AJ88" s="15">
        <f>AJ81-AJ86</f>
        <v>3.3932365039999999</v>
      </c>
      <c r="AK88" s="15"/>
      <c r="AL88" s="112"/>
      <c r="AM88" s="15">
        <f t="shared" si="290"/>
        <v>0</v>
      </c>
      <c r="AN88" s="15">
        <f t="shared" ref="AN88" si="294">AN81-AN86</f>
        <v>0</v>
      </c>
      <c r="AO88" s="15">
        <f>AO81-AO86</f>
        <v>0</v>
      </c>
      <c r="AP88" s="15">
        <f>AP81-AP86</f>
        <v>0</v>
      </c>
      <c r="AQ88" s="15"/>
      <c r="AR88" s="15">
        <f>AR81-AR86</f>
        <v>0</v>
      </c>
      <c r="AS88" s="15"/>
      <c r="AT88" s="15">
        <f>AT81-AT86</f>
        <v>0</v>
      </c>
      <c r="AU88" s="15"/>
      <c r="AV88" s="15">
        <f>AV81-AV86</f>
        <v>0</v>
      </c>
      <c r="AW88" s="15"/>
      <c r="AX88" s="112"/>
      <c r="AY88" s="15">
        <f t="shared" si="290"/>
        <v>0</v>
      </c>
      <c r="AZ88" s="15">
        <f t="shared" ref="AZ88" si="295">AZ81-AZ86</f>
        <v>0</v>
      </c>
      <c r="BA88" s="15">
        <f>BA81-BA86</f>
        <v>0</v>
      </c>
      <c r="BB88" s="15">
        <f>BB81-BB86</f>
        <v>0</v>
      </c>
      <c r="BC88" s="15"/>
      <c r="BD88" s="15">
        <f>BD81-BD86</f>
        <v>0</v>
      </c>
      <c r="BE88" s="15"/>
      <c r="BF88" s="15">
        <f>BF81-BF86</f>
        <v>0</v>
      </c>
      <c r="BG88" s="15"/>
      <c r="BH88" s="15">
        <f>BH81-BH86</f>
        <v>0</v>
      </c>
      <c r="BI88" s="15"/>
      <c r="BJ88" s="112"/>
      <c r="BK88" s="15">
        <f t="shared" si="290"/>
        <v>0</v>
      </c>
      <c r="BL88" s="15">
        <f t="shared" ref="BL88" si="296">BL81-BL86</f>
        <v>0</v>
      </c>
      <c r="BM88" s="15">
        <f>BM81-BM86</f>
        <v>0</v>
      </c>
      <c r="BN88" s="15">
        <f t="shared" ref="BN88" si="297">BN81-BN86</f>
        <v>0</v>
      </c>
      <c r="BO88" s="15"/>
      <c r="BP88" s="15">
        <f>BP81-BP86</f>
        <v>0</v>
      </c>
      <c r="BQ88" s="15"/>
      <c r="BR88" s="15">
        <f>BR81-BR86</f>
        <v>0</v>
      </c>
      <c r="BS88" s="15"/>
      <c r="BT88" s="15">
        <f>BT81-BT86</f>
        <v>0</v>
      </c>
      <c r="BU88" s="15"/>
      <c r="BV88" s="112"/>
      <c r="BW88" s="15">
        <f t="shared" si="290"/>
        <v>0</v>
      </c>
      <c r="BX88" s="15">
        <f t="shared" ref="BX88" si="298">BX81-BX86</f>
        <v>0</v>
      </c>
      <c r="BY88" s="15">
        <f>BY81-BY86</f>
        <v>0</v>
      </c>
      <c r="BZ88" s="15">
        <f>BZ81-BZ86</f>
        <v>-1.5470575679999998</v>
      </c>
      <c r="CA88" s="15"/>
      <c r="CB88" s="15">
        <f>CB81-CB86</f>
        <v>0</v>
      </c>
      <c r="CC88" s="15"/>
      <c r="CD88" s="15">
        <f>CD81-CD86</f>
        <v>-1.5470575679999998</v>
      </c>
      <c r="CE88" s="15"/>
      <c r="CF88" s="15">
        <f>CF81-CF86</f>
        <v>-1.5470575679999998</v>
      </c>
      <c r="CG88" s="15"/>
      <c r="CH88" s="112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12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12"/>
      <c r="DG88" s="15">
        <f t="shared" si="290"/>
        <v>0</v>
      </c>
      <c r="DH88" s="16">
        <f t="shared" ref="DH88:DI88" si="299">DH81-DH86</f>
        <v>1.8781757360000002</v>
      </c>
      <c r="DI88" s="121">
        <f t="shared" si="299"/>
        <v>1.8781757360000002</v>
      </c>
      <c r="DK88" s="15">
        <f t="shared" ref="DK88" si="300">DK81-DK86</f>
        <v>0</v>
      </c>
      <c r="DL88" s="16">
        <f t="shared" ref="DL88" si="301">DL81-DL86</f>
        <v>1.8781757360000002</v>
      </c>
      <c r="DM88" s="121">
        <f t="shared" ref="DM88" si="302">DM81-DM86</f>
        <v>1.8781757360000002</v>
      </c>
    </row>
    <row r="90" spans="2:117" x14ac:dyDescent="0.25">
      <c r="B90" s="14" t="s">
        <v>212</v>
      </c>
      <c r="C90" s="15">
        <f>C76+C88</f>
        <v>0</v>
      </c>
      <c r="D90" s="15">
        <f>D76+D88</f>
        <v>0</v>
      </c>
      <c r="E90" s="15">
        <f>E76+E88</f>
        <v>0</v>
      </c>
      <c r="F90" s="15">
        <f>F76+F88</f>
        <v>0</v>
      </c>
      <c r="G90" s="15"/>
      <c r="H90" s="15">
        <f>H76+H88</f>
        <v>0</v>
      </c>
      <c r="I90" s="15"/>
      <c r="J90" s="15">
        <f>J76+J88</f>
        <v>0</v>
      </c>
      <c r="K90" s="15"/>
      <c r="L90" s="15">
        <f>L76+L88</f>
        <v>0</v>
      </c>
      <c r="M90" s="15"/>
      <c r="N90" s="112"/>
      <c r="O90" s="15">
        <f t="shared" ref="O90:DG90" si="303">O76+O88</f>
        <v>-65.618943998695499</v>
      </c>
      <c r="P90" s="15">
        <f t="shared" ref="P90" si="304">P76+P88</f>
        <v>-81.495195333843839</v>
      </c>
      <c r="Q90" s="15">
        <f>Q76+Q88</f>
        <v>15.876251335148297</v>
      </c>
      <c r="R90" s="15">
        <f>R76+R88</f>
        <v>16.348312800000002</v>
      </c>
      <c r="S90" s="15"/>
      <c r="T90" s="15">
        <f>T76+T88</f>
        <v>-54.932395195678197</v>
      </c>
      <c r="U90" s="15"/>
      <c r="V90" s="15">
        <f>V76+V88</f>
        <v>5.7472904435912664</v>
      </c>
      <c r="W90" s="15"/>
      <c r="X90" s="15">
        <f>X76+X88</f>
        <v>37.542242217453733</v>
      </c>
      <c r="Y90" s="15"/>
      <c r="Z90" s="112"/>
      <c r="AA90" s="15">
        <f t="shared" si="303"/>
        <v>196.60326223999971</v>
      </c>
      <c r="AB90" s="15">
        <f t="shared" ref="AB90" si="305">AB76+AB88</f>
        <v>104.2060276651091</v>
      </c>
      <c r="AC90" s="15">
        <f>AC76+AC88</f>
        <v>92.39723457489066</v>
      </c>
      <c r="AD90" s="15">
        <f t="shared" ref="AD90" si="306">AD76+AD88</f>
        <v>264.09227994000008</v>
      </c>
      <c r="AE90" s="15"/>
      <c r="AF90" s="15">
        <f>AF76+AF88</f>
        <v>116.20276909523841</v>
      </c>
      <c r="AG90" s="15"/>
      <c r="AH90" s="15">
        <f>AH76+AH88</f>
        <v>375.66112495163361</v>
      </c>
      <c r="AI90" s="15"/>
      <c r="AJ90" s="15">
        <f>AJ76+AJ88</f>
        <v>393.39574879752752</v>
      </c>
      <c r="AK90" s="15"/>
      <c r="AL90" s="112"/>
      <c r="AM90" s="15">
        <f t="shared" si="303"/>
        <v>32.640864769988013</v>
      </c>
      <c r="AN90" s="15">
        <f t="shared" ref="AN90" si="307">AN76+AN88</f>
        <v>0.29150272908000829</v>
      </c>
      <c r="AO90" s="15">
        <f>AO76+AO88</f>
        <v>32.349362040908005</v>
      </c>
      <c r="AP90" s="15">
        <f>AP76+AP88</f>
        <v>-137.30923559999999</v>
      </c>
      <c r="AQ90" s="15"/>
      <c r="AR90" s="15">
        <f>AR76+AR88</f>
        <v>32.349362040908005</v>
      </c>
      <c r="AS90" s="15"/>
      <c r="AT90" s="15">
        <f>AT76+AT88</f>
        <v>-395.37641874129196</v>
      </c>
      <c r="AU90" s="15"/>
      <c r="AV90" s="15">
        <f>AV76+AV88</f>
        <v>-255.50785124129197</v>
      </c>
      <c r="AW90" s="15"/>
      <c r="AX90" s="112"/>
      <c r="AY90" s="15">
        <f t="shared" si="303"/>
        <v>0</v>
      </c>
      <c r="AZ90" s="15">
        <f t="shared" ref="AZ90" si="308">AZ76+AZ88</f>
        <v>0</v>
      </c>
      <c r="BA90" s="15">
        <f>BA76+BA88</f>
        <v>0</v>
      </c>
      <c r="BB90" s="15">
        <f>BB76+BB88</f>
        <v>0</v>
      </c>
      <c r="BC90" s="15"/>
      <c r="BD90" s="15">
        <f>BD76+BD88</f>
        <v>0</v>
      </c>
      <c r="BE90" s="15"/>
      <c r="BF90" s="15">
        <f>BF76+BF88</f>
        <v>0</v>
      </c>
      <c r="BG90" s="15"/>
      <c r="BH90" s="15">
        <f>BH76+BH88</f>
        <v>0</v>
      </c>
      <c r="BI90" s="15"/>
      <c r="BJ90" s="112"/>
      <c r="BK90" s="15">
        <f t="shared" si="303"/>
        <v>43.249875000000003</v>
      </c>
      <c r="BL90" s="15">
        <f t="shared" ref="BL90" si="309">BL76+BL88</f>
        <v>24.855703162499999</v>
      </c>
      <c r="BM90" s="15">
        <f>BM76+BM88</f>
        <v>18.3941718375</v>
      </c>
      <c r="BN90" s="15">
        <f t="shared" ref="BN90" si="310">BN76+BN88</f>
        <v>23.039312399999996</v>
      </c>
      <c r="BO90" s="15"/>
      <c r="BP90" s="15">
        <f>BP76+BP88</f>
        <v>33.194611837499998</v>
      </c>
      <c r="BQ90" s="15"/>
      <c r="BR90" s="15">
        <f>BR76+BR88</f>
        <v>56.233924237499998</v>
      </c>
      <c r="BS90" s="15"/>
      <c r="BT90" s="15">
        <f>BT76+BT88</f>
        <v>55.824286259999994</v>
      </c>
      <c r="BU90" s="15"/>
      <c r="BV90" s="112"/>
      <c r="BW90" s="15">
        <f t="shared" si="303"/>
        <v>209.05363019999982</v>
      </c>
      <c r="BX90" s="15">
        <f t="shared" ref="BX90" si="311">BX76+BX88</f>
        <v>251.07139735826001</v>
      </c>
      <c r="BY90" s="15">
        <f>BY76+BY88</f>
        <v>-42.017767158259971</v>
      </c>
      <c r="BZ90" s="15">
        <f>BZ76+BZ88</f>
        <v>61.805036352000016</v>
      </c>
      <c r="CA90" s="15"/>
      <c r="CB90" s="15">
        <f>CB76+CB88</f>
        <v>332.03676882349828</v>
      </c>
      <c r="CC90" s="15"/>
      <c r="CD90" s="15">
        <f>CD76+CD88</f>
        <v>269.07577199159834</v>
      </c>
      <c r="CE90" s="15"/>
      <c r="CF90" s="15">
        <f>CF76+CF88</f>
        <v>230.46750689761836</v>
      </c>
      <c r="CG90" s="15"/>
      <c r="CH90" s="112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12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12"/>
      <c r="DG90" s="15">
        <f t="shared" si="303"/>
        <v>415.9286882112915</v>
      </c>
      <c r="DH90" s="16">
        <f t="shared" ref="DH90:DI90" si="312">DH76+DH88</f>
        <v>285.78534540046553</v>
      </c>
      <c r="DI90" s="121">
        <f t="shared" si="312"/>
        <v>459.32013517428481</v>
      </c>
      <c r="DK90" s="15">
        <f t="shared" ref="DK90" si="313">DK76+DK88</f>
        <v>415.9286882112915</v>
      </c>
      <c r="DL90" s="16">
        <f t="shared" ref="DL90" si="314">DL76+DL88</f>
        <v>285.78534540046553</v>
      </c>
      <c r="DM90" s="121">
        <f t="shared" ref="DM90" si="315">DM76+DM88</f>
        <v>459.32013517428527</v>
      </c>
    </row>
    <row r="91" spans="2:117" x14ac:dyDescent="0.25">
      <c r="B91" t="s">
        <v>213</v>
      </c>
      <c r="C91" s="7">
        <f t="shared" ref="C91:DG91" si="316">IFERROR(C90/(C39+C81),0)</f>
        <v>0</v>
      </c>
      <c r="D91" s="7">
        <f t="shared" ref="D91" si="317">IFERROR(D90/(D39+D81),0)</f>
        <v>0</v>
      </c>
      <c r="E91" s="7">
        <f t="shared" ref="E91:F91" si="318">IFERROR(E90/(E39+E81),0)</f>
        <v>0</v>
      </c>
      <c r="F91" s="7">
        <f t="shared" si="318"/>
        <v>0</v>
      </c>
      <c r="G91" s="7"/>
      <c r="H91" s="7">
        <f t="shared" ref="H91" si="319">IFERROR(H90/(H39+H81),0)</f>
        <v>0</v>
      </c>
      <c r="I91" s="7"/>
      <c r="J91" s="7">
        <f t="shared" ref="J91:L91" si="320">IFERROR(J90/(J39+J81),0)</f>
        <v>0</v>
      </c>
      <c r="K91" s="7"/>
      <c r="L91" s="7">
        <f t="shared" si="320"/>
        <v>0</v>
      </c>
      <c r="M91" s="7"/>
      <c r="N91" s="113"/>
      <c r="O91" s="7">
        <f t="shared" si="316"/>
        <v>-0.60042672066435754</v>
      </c>
      <c r="P91" s="7">
        <f t="shared" ref="P91" si="321">IFERROR(P90/(P39+P81),0)</f>
        <v>-4.7197996218794191</v>
      </c>
      <c r="Q91" s="7">
        <f t="shared" si="316"/>
        <v>0.17252947285289538</v>
      </c>
      <c r="R91" s="7">
        <f t="shared" si="316"/>
        <v>0.37261276890990946</v>
      </c>
      <c r="S91" s="7"/>
      <c r="T91" s="7">
        <f t="shared" si="316"/>
        <v>-1.6440981600504372</v>
      </c>
      <c r="U91" s="7"/>
      <c r="V91" s="7">
        <f t="shared" ref="V91" si="322">IFERROR(V90/(V39+V81),0)</f>
        <v>7.4363276004280734E-2</v>
      </c>
      <c r="W91" s="7"/>
      <c r="X91" s="7">
        <f t="shared" ref="X91" si="323">IFERROR(X90/(X39+X81),0)</f>
        <v>0.2798284632294411</v>
      </c>
      <c r="Y91" s="7"/>
      <c r="Z91" s="113"/>
      <c r="AA91" s="7">
        <f t="shared" si="316"/>
        <v>0.20532509776703498</v>
      </c>
      <c r="AB91" s="7">
        <f t="shared" ref="AB91" si="324">IFERROR(AB90/(AB39+AB81),0)</f>
        <v>0.21599235024468305</v>
      </c>
      <c r="AC91" s="7">
        <f t="shared" ref="AC91:AF91" si="325">IFERROR(AC90/(AC39+AC81),0)</f>
        <v>0.19449206730007584</v>
      </c>
      <c r="AD91" s="7">
        <f t="shared" si="325"/>
        <v>0.449898606414326</v>
      </c>
      <c r="AE91" s="7"/>
      <c r="AF91" s="7">
        <f t="shared" si="325"/>
        <v>0.21945528615501159</v>
      </c>
      <c r="AG91" s="7"/>
      <c r="AH91" s="7">
        <f t="shared" ref="AH91" si="326">IFERROR(AH90/(AH39+AH81),0)</f>
        <v>0.33635173096559212</v>
      </c>
      <c r="AI91" s="7"/>
      <c r="AJ91" s="7">
        <f t="shared" ref="AJ91" si="327">IFERROR(AJ90/(AJ39+AJ81),0)</f>
        <v>0.33755749084792736</v>
      </c>
      <c r="AK91" s="7"/>
      <c r="AL91" s="113"/>
      <c r="AM91" s="7">
        <f t="shared" si="316"/>
        <v>9.2425562448201229E-2</v>
      </c>
      <c r="AN91" s="7">
        <f t="shared" ref="AN91" si="328">IFERROR(AN90/(AN39+AN81),0)</f>
        <v>1.8680483341821607E-3</v>
      </c>
      <c r="AO91" s="7">
        <f t="shared" ref="AO91:AR91" si="329">IFERROR(AO90/(AO39+AO81),0)</f>
        <v>0.16411687352238144</v>
      </c>
      <c r="AP91" s="7">
        <f t="shared" si="329"/>
        <v>-5.611100306485227</v>
      </c>
      <c r="AQ91" s="7"/>
      <c r="AR91" s="7">
        <f t="shared" si="329"/>
        <v>0.16411687352238144</v>
      </c>
      <c r="AS91" s="7"/>
      <c r="AT91" s="7">
        <f t="shared" ref="AT91" si="330">IFERROR(AT90/(AT39+AT81),0)</f>
        <v>-7.4397188533285394</v>
      </c>
      <c r="AU91" s="7"/>
      <c r="AV91" s="7">
        <f t="shared" ref="AV91" si="331">IFERROR(AV90/(AV39+AV81),0)</f>
        <v>-1.2421443528713896</v>
      </c>
      <c r="AW91" s="7"/>
      <c r="AX91" s="113"/>
      <c r="AY91" s="7">
        <f t="shared" si="316"/>
        <v>0</v>
      </c>
      <c r="AZ91" s="7">
        <f t="shared" ref="AZ91" si="332">IFERROR(AZ90/(AZ39+AZ81),0)</f>
        <v>0</v>
      </c>
      <c r="BA91" s="7">
        <f t="shared" si="316"/>
        <v>0</v>
      </c>
      <c r="BB91" s="7">
        <f t="shared" si="316"/>
        <v>0</v>
      </c>
      <c r="BC91" s="7"/>
      <c r="BD91" s="7">
        <f t="shared" si="316"/>
        <v>0</v>
      </c>
      <c r="BE91" s="7"/>
      <c r="BF91" s="7">
        <f t="shared" ref="BF91" si="333">IFERROR(BF90/(BF39+BF81),0)</f>
        <v>0</v>
      </c>
      <c r="BG91" s="7"/>
      <c r="BH91" s="7">
        <f t="shared" ref="BH91" si="334">IFERROR(BH90/(BH39+BH81),0)</f>
        <v>0</v>
      </c>
      <c r="BI91" s="7"/>
      <c r="BJ91" s="113"/>
      <c r="BK91" s="7">
        <f t="shared" si="316"/>
        <v>0.99425000000000008</v>
      </c>
      <c r="BL91" s="7">
        <f t="shared" ref="BL91" si="335">IFERROR(BL90/(BL39+BL81),0)</f>
        <v>0.99424999999999997</v>
      </c>
      <c r="BM91" s="7">
        <f t="shared" ref="BM91:BP91" si="336">IFERROR(BM90/(BM39+BM81),0)</f>
        <v>0.99424999999999997</v>
      </c>
      <c r="BN91" s="7">
        <f t="shared" si="336"/>
        <v>0.99303956760111711</v>
      </c>
      <c r="BO91" s="7"/>
      <c r="BP91" s="7">
        <f t="shared" si="336"/>
        <v>0.9968055555555555</v>
      </c>
      <c r="BQ91" s="7"/>
      <c r="BR91" s="7">
        <f t="shared" ref="BR91" si="337">IFERROR(BR90/(BR39+BR81),0)</f>
        <v>0.99525916324951824</v>
      </c>
      <c r="BS91" s="7"/>
      <c r="BT91" s="7">
        <f t="shared" ref="BT91" si="338">IFERROR(BT90/(BT39+BT81),0)</f>
        <v>0.94546331411437157</v>
      </c>
      <c r="BU91" s="7"/>
      <c r="BV91" s="113"/>
      <c r="BW91" s="7">
        <f t="shared" si="316"/>
        <v>0.13603673440039182</v>
      </c>
      <c r="BX91" s="7">
        <f t="shared" ref="BX91" si="339">IFERROR(BX90/(BX39+BX81),0)</f>
        <v>0.26654556948920216</v>
      </c>
      <c r="BY91" s="7">
        <f t="shared" si="316"/>
        <v>-7.0642022828449322E-2</v>
      </c>
      <c r="BZ91" s="7">
        <f t="shared" si="316"/>
        <v>0.20729044954727899</v>
      </c>
      <c r="CA91" s="7"/>
      <c r="CB91" s="7">
        <f t="shared" si="316"/>
        <v>0.368252566762448</v>
      </c>
      <c r="CC91" s="7"/>
      <c r="CD91" s="7">
        <f t="shared" ref="CD91" si="340">IFERROR(CD90/(CD39+CD81),0)</f>
        <v>0.22426500055806275</v>
      </c>
      <c r="CE91" s="7"/>
      <c r="CF91" s="7">
        <f t="shared" ref="CF91" si="341">IFERROR(CF90/(CF39+CF81),0)</f>
        <v>0.17144403743961148</v>
      </c>
      <c r="CG91" s="7"/>
      <c r="CH91" s="113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113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113"/>
      <c r="DG91" s="7">
        <f t="shared" si="316"/>
        <v>0.13863312802408514</v>
      </c>
      <c r="DH91" s="7">
        <f t="shared" ref="DH91:DI91" si="342">IFERROR(DH90/(DH39+DH81),0)</f>
        <v>0.11391025474141307</v>
      </c>
      <c r="DI91" s="7">
        <f t="shared" si="342"/>
        <v>0.1579181610407413</v>
      </c>
      <c r="DK91" s="7">
        <f t="shared" ref="DK91" si="343">IFERROR(DK90/(DK39+DK81),0)</f>
        <v>0.13912001376645233</v>
      </c>
      <c r="DL91" s="7">
        <f t="shared" ref="DL91" si="344">IFERROR(DL90/(DL39+DL81),0)</f>
        <v>0.11418385573911648</v>
      </c>
      <c r="DM91" s="7">
        <f t="shared" ref="DM91" si="345">IFERROR(DM90/(DM39+DM81),0)</f>
        <v>0.15864147905582962</v>
      </c>
    </row>
  </sheetData>
  <pageMargins left="0.7" right="0.7" top="0.75" bottom="0.75" header="0.3" footer="0.3"/>
  <pageSetup paperSize="9" orientation="portrait" horizontalDpi="1200" verticalDpi="1200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D2280CCC-CF6D-4DC4-BB98-B07EA16A6C6A}">
          <x14:formula1>
            <xm:f>variables!$M$1:$M$2</xm:f>
          </x14:formula1>
          <xm:sqref>B2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C571E-8A3C-40CD-BC6A-B072CB4C250C}">
  <dimension ref="A2:W145"/>
  <sheetViews>
    <sheetView topLeftCell="A142" zoomScale="110" zoomScaleNormal="110" workbookViewId="0">
      <selection activeCell="A150" sqref="A150:F153"/>
    </sheetView>
  </sheetViews>
  <sheetFormatPr baseColWidth="10" defaultRowHeight="15" x14ac:dyDescent="0.25"/>
  <cols>
    <col min="1" max="1" width="38.140625" customWidth="1"/>
    <col min="2" max="2" width="33.5703125" customWidth="1"/>
    <col min="3" max="3" width="27.140625" customWidth="1"/>
    <col min="4" max="4" width="28.140625" bestFit="1" customWidth="1"/>
    <col min="5" max="5" width="28.5703125" customWidth="1"/>
    <col min="6" max="6" width="19.140625" customWidth="1"/>
    <col min="7" max="7" width="24.85546875" customWidth="1"/>
    <col min="8" max="8" width="13.28515625" customWidth="1"/>
    <col min="9" max="9" width="32.140625" bestFit="1" customWidth="1"/>
    <col min="10" max="11" width="17.5703125" bestFit="1" customWidth="1"/>
    <col min="12" max="12" width="15.7109375" bestFit="1" customWidth="1"/>
    <col min="17" max="18" width="12.5703125" bestFit="1" customWidth="1"/>
    <col min="20" max="20" width="13.28515625" bestFit="1" customWidth="1"/>
    <col min="21" max="22" width="12.5703125" bestFit="1" customWidth="1"/>
  </cols>
  <sheetData>
    <row r="2" spans="1:12" x14ac:dyDescent="0.25">
      <c r="A2" s="506" t="s">
        <v>917</v>
      </c>
      <c r="B2" s="506"/>
      <c r="C2" s="506"/>
      <c r="D2" s="506"/>
      <c r="E2" s="506"/>
    </row>
    <row r="4" spans="1:12" x14ac:dyDescent="0.25">
      <c r="A4" s="287" t="s">
        <v>914</v>
      </c>
      <c r="B4" s="287"/>
    </row>
    <row r="5" spans="1:12" x14ac:dyDescent="0.25">
      <c r="A5" s="287"/>
      <c r="B5" s="287"/>
    </row>
    <row r="6" spans="1:12" x14ac:dyDescent="0.25">
      <c r="A6" s="313" t="s">
        <v>1048</v>
      </c>
      <c r="B6" s="409">
        <f>+((D13+E13)/(B13+C13))-1</f>
        <v>5.464480874316946E-3</v>
      </c>
    </row>
    <row r="7" spans="1:12" x14ac:dyDescent="0.25">
      <c r="A7" s="287"/>
      <c r="B7" s="287"/>
    </row>
    <row r="8" spans="1:12" x14ac:dyDescent="0.25">
      <c r="A8" s="408" t="s">
        <v>909</v>
      </c>
      <c r="B8" s="408" t="s">
        <v>1038</v>
      </c>
      <c r="C8" s="408" t="s">
        <v>910</v>
      </c>
      <c r="D8" s="408" t="s">
        <v>911</v>
      </c>
      <c r="E8" s="408" t="s">
        <v>912</v>
      </c>
      <c r="I8" t="s">
        <v>1039</v>
      </c>
      <c r="J8" s="396">
        <f>+J10/96</f>
        <v>6593.3125</v>
      </c>
      <c r="K8" s="397"/>
    </row>
    <row r="9" spans="1:12" x14ac:dyDescent="0.25">
      <c r="A9" s="236" t="s">
        <v>913</v>
      </c>
      <c r="B9" s="403">
        <v>26</v>
      </c>
      <c r="C9" s="404">
        <v>21</v>
      </c>
      <c r="D9" s="391">
        <v>25</v>
      </c>
      <c r="E9" s="391">
        <v>25</v>
      </c>
      <c r="J9" s="277" t="s">
        <v>1040</v>
      </c>
      <c r="K9" s="277" t="s">
        <v>1041</v>
      </c>
      <c r="L9" s="277" t="s">
        <v>1042</v>
      </c>
    </row>
    <row r="10" spans="1:12" x14ac:dyDescent="0.25">
      <c r="A10" s="236">
        <v>2</v>
      </c>
      <c r="B10" s="403">
        <v>22</v>
      </c>
      <c r="C10" s="404">
        <v>26</v>
      </c>
      <c r="D10" s="392">
        <v>21</v>
      </c>
      <c r="E10" s="392">
        <v>24</v>
      </c>
      <c r="J10" s="398">
        <v>632958</v>
      </c>
      <c r="K10" s="398">
        <f>+J8*87</f>
        <v>573618.1875</v>
      </c>
      <c r="L10" s="399">
        <f>SUM(J10:K10)</f>
        <v>1206576.1875</v>
      </c>
    </row>
    <row r="11" spans="1:12" x14ac:dyDescent="0.25">
      <c r="A11" s="236">
        <v>3</v>
      </c>
      <c r="B11" s="403">
        <v>20</v>
      </c>
      <c r="C11" s="404">
        <v>21</v>
      </c>
      <c r="D11" s="391">
        <v>25</v>
      </c>
      <c r="E11" s="392">
        <v>20</v>
      </c>
    </row>
    <row r="12" spans="1:12" x14ac:dyDescent="0.25">
      <c r="A12" s="236">
        <v>4</v>
      </c>
      <c r="B12" s="403">
        <v>28</v>
      </c>
      <c r="C12" s="404">
        <v>19</v>
      </c>
      <c r="D12" s="391">
        <v>20</v>
      </c>
      <c r="E12" s="391">
        <v>24</v>
      </c>
      <c r="J12" s="277" t="s">
        <v>1043</v>
      </c>
      <c r="K12" s="277" t="s">
        <v>1044</v>
      </c>
      <c r="L12" s="277" t="s">
        <v>1042</v>
      </c>
    </row>
    <row r="13" spans="1:12" x14ac:dyDescent="0.25">
      <c r="A13" s="236" t="s">
        <v>399</v>
      </c>
      <c r="B13" s="405">
        <f>SUM(B9:B12)</f>
        <v>96</v>
      </c>
      <c r="C13" s="405">
        <f>SUM(C9:C12)</f>
        <v>87</v>
      </c>
      <c r="D13" s="402">
        <f>SUM(D9:D12)</f>
        <v>91</v>
      </c>
      <c r="E13" s="402">
        <f>SUM(E9:E12)</f>
        <v>93</v>
      </c>
      <c r="J13" s="398">
        <f>+J8*D13</f>
        <v>599991.4375</v>
      </c>
      <c r="K13" s="398">
        <f>+J8*E13</f>
        <v>613178.0625</v>
      </c>
      <c r="L13" s="399">
        <f>SUM(J13:K13)</f>
        <v>1213169.5</v>
      </c>
    </row>
    <row r="14" spans="1:12" x14ac:dyDescent="0.25">
      <c r="B14" s="5"/>
    </row>
    <row r="15" spans="1:12" x14ac:dyDescent="0.25">
      <c r="A15" s="287" t="s">
        <v>916</v>
      </c>
      <c r="B15" s="394"/>
    </row>
    <row r="16" spans="1:12" x14ac:dyDescent="0.25">
      <c r="A16" s="287"/>
      <c r="B16" s="394"/>
    </row>
    <row r="17" spans="1:10" x14ac:dyDescent="0.25">
      <c r="A17" s="313" t="s">
        <v>1048</v>
      </c>
      <c r="B17" s="409">
        <f>+((D24+E24)/(B24+C24))-1</f>
        <v>0.83333333333333326</v>
      </c>
    </row>
    <row r="18" spans="1:10" x14ac:dyDescent="0.25">
      <c r="A18" s="287"/>
      <c r="B18" s="394"/>
    </row>
    <row r="19" spans="1:10" x14ac:dyDescent="0.25">
      <c r="A19" s="277" t="s">
        <v>909</v>
      </c>
      <c r="B19" s="236" t="s">
        <v>1038</v>
      </c>
      <c r="C19" s="236" t="s">
        <v>910</v>
      </c>
      <c r="D19" s="236" t="s">
        <v>911</v>
      </c>
      <c r="E19" s="236" t="s">
        <v>912</v>
      </c>
      <c r="G19" s="292" t="s">
        <v>922</v>
      </c>
    </row>
    <row r="20" spans="1:10" x14ac:dyDescent="0.25">
      <c r="A20" s="236" t="s">
        <v>913</v>
      </c>
      <c r="B20" s="406"/>
      <c r="C20" s="404">
        <v>8</v>
      </c>
      <c r="D20" s="391">
        <v>0</v>
      </c>
      <c r="E20" s="391">
        <v>14</v>
      </c>
    </row>
    <row r="21" spans="1:10" x14ac:dyDescent="0.25">
      <c r="A21" s="236">
        <v>2</v>
      </c>
      <c r="B21" s="403">
        <v>4</v>
      </c>
      <c r="C21" s="404">
        <v>0</v>
      </c>
      <c r="D21" s="392">
        <v>8</v>
      </c>
      <c r="E21" s="392">
        <v>0</v>
      </c>
    </row>
    <row r="22" spans="1:10" x14ac:dyDescent="0.25">
      <c r="A22" s="236">
        <v>3</v>
      </c>
      <c r="B22" s="406"/>
      <c r="C22" s="404"/>
      <c r="D22" s="391"/>
      <c r="E22" s="392">
        <v>0</v>
      </c>
    </row>
    <row r="23" spans="1:10" x14ac:dyDescent="0.25">
      <c r="A23" s="236">
        <v>4</v>
      </c>
      <c r="B23" s="406"/>
      <c r="C23" s="404"/>
      <c r="D23" s="391"/>
      <c r="E23" s="391"/>
      <c r="I23">
        <v>2021</v>
      </c>
      <c r="J23">
        <v>2022</v>
      </c>
    </row>
    <row r="24" spans="1:10" x14ac:dyDescent="0.25">
      <c r="A24" s="236" t="s">
        <v>399</v>
      </c>
      <c r="B24" s="406">
        <v>4</v>
      </c>
      <c r="C24" s="405">
        <f t="shared" ref="C24:E24" si="0">SUM(C20:C23)</f>
        <v>8</v>
      </c>
      <c r="D24" s="402">
        <f t="shared" si="0"/>
        <v>8</v>
      </c>
      <c r="E24" s="402">
        <f t="shared" si="0"/>
        <v>14</v>
      </c>
      <c r="I24">
        <v>7.2</v>
      </c>
      <c r="J24">
        <v>7.3</v>
      </c>
    </row>
    <row r="25" spans="1:10" x14ac:dyDescent="0.25">
      <c r="B25" s="5"/>
    </row>
    <row r="26" spans="1:10" x14ac:dyDescent="0.25">
      <c r="A26" s="287" t="s">
        <v>915</v>
      </c>
      <c r="B26" s="394"/>
      <c r="J26">
        <f>14*I24</f>
        <v>100.8</v>
      </c>
    </row>
    <row r="27" spans="1:10" x14ac:dyDescent="0.25">
      <c r="A27" s="287"/>
      <c r="B27" s="394"/>
    </row>
    <row r="28" spans="1:10" x14ac:dyDescent="0.25">
      <c r="A28" s="313" t="s">
        <v>1048</v>
      </c>
      <c r="B28" s="409">
        <f>+((D33+E33)/(B33+C33))-1</f>
        <v>5.6410256410256432E-2</v>
      </c>
    </row>
    <row r="29" spans="1:10" x14ac:dyDescent="0.25">
      <c r="A29" s="287"/>
      <c r="B29" s="394"/>
    </row>
    <row r="30" spans="1:10" x14ac:dyDescent="0.25">
      <c r="A30" s="277" t="s">
        <v>909</v>
      </c>
      <c r="B30" s="236" t="s">
        <v>1038</v>
      </c>
      <c r="C30" s="236" t="s">
        <v>910</v>
      </c>
      <c r="D30" s="236" t="s">
        <v>911</v>
      </c>
      <c r="E30" s="236" t="s">
        <v>912</v>
      </c>
    </row>
    <row r="31" spans="1:10" x14ac:dyDescent="0.25">
      <c r="A31" s="236" t="s">
        <v>918</v>
      </c>
      <c r="B31" s="395">
        <f>+B9</f>
        <v>26</v>
      </c>
      <c r="C31" s="97">
        <f>+C9+C20</f>
        <v>29</v>
      </c>
      <c r="D31" s="97">
        <f>+D9+D20</f>
        <v>25</v>
      </c>
      <c r="E31" s="97">
        <f>+E9+E20</f>
        <v>39</v>
      </c>
      <c r="G31">
        <f>192*6.2</f>
        <v>1190.4000000000001</v>
      </c>
    </row>
    <row r="32" spans="1:10" x14ac:dyDescent="0.25">
      <c r="A32" s="236" t="s">
        <v>919</v>
      </c>
      <c r="B32" s="395">
        <f>SUM(B10:B12)+B21</f>
        <v>74</v>
      </c>
      <c r="C32" s="97">
        <f>+C10+C11+C12+C21</f>
        <v>66</v>
      </c>
      <c r="D32" s="407">
        <f>+D10+D11+D12+D21</f>
        <v>74</v>
      </c>
      <c r="E32" s="407">
        <f>+E10+E11+E12+E21</f>
        <v>68</v>
      </c>
    </row>
    <row r="33" spans="1:23" x14ac:dyDescent="0.25">
      <c r="A33" s="236" t="s">
        <v>399</v>
      </c>
      <c r="B33" s="236">
        <f>SUM(B31:B32)</f>
        <v>100</v>
      </c>
      <c r="C33" s="288">
        <f>SUM(C31:C32)</f>
        <v>95</v>
      </c>
      <c r="D33" s="288">
        <f>SUM(D31:D32)</f>
        <v>99</v>
      </c>
      <c r="E33" s="288">
        <f>SUM(E31:E32)</f>
        <v>107</v>
      </c>
    </row>
    <row r="42" spans="1:23" x14ac:dyDescent="0.25">
      <c r="A42" s="2" t="s">
        <v>923</v>
      </c>
      <c r="B42" s="2"/>
    </row>
    <row r="44" spans="1:23" x14ac:dyDescent="0.25">
      <c r="A44" s="2" t="s">
        <v>949</v>
      </c>
      <c r="B44" s="2"/>
    </row>
    <row r="45" spans="1:23" ht="60" x14ac:dyDescent="0.25">
      <c r="A45" s="293" t="s">
        <v>924</v>
      </c>
      <c r="B45" s="293"/>
      <c r="C45" s="293" t="s">
        <v>925</v>
      </c>
      <c r="D45" s="293" t="s">
        <v>926</v>
      </c>
      <c r="E45" s="294" t="s">
        <v>927</v>
      </c>
      <c r="F45" s="295" t="s">
        <v>928</v>
      </c>
      <c r="G45" s="295" t="s">
        <v>929</v>
      </c>
      <c r="H45" s="295" t="s">
        <v>930</v>
      </c>
      <c r="I45" s="295" t="s">
        <v>931</v>
      </c>
      <c r="J45" s="295" t="s">
        <v>932</v>
      </c>
      <c r="K45" s="295" t="s">
        <v>933</v>
      </c>
      <c r="L45" s="294" t="s">
        <v>934</v>
      </c>
      <c r="M45" s="295" t="s">
        <v>935</v>
      </c>
      <c r="N45" s="295" t="s">
        <v>936</v>
      </c>
      <c r="O45" s="294" t="s">
        <v>937</v>
      </c>
      <c r="P45" s="294" t="s">
        <v>217</v>
      </c>
      <c r="Q45" s="295" t="s">
        <v>938</v>
      </c>
      <c r="R45" s="295" t="s">
        <v>939</v>
      </c>
      <c r="S45" s="295" t="s">
        <v>940</v>
      </c>
      <c r="T45" s="295" t="s">
        <v>941</v>
      </c>
      <c r="U45" s="295" t="s">
        <v>942</v>
      </c>
      <c r="V45" s="296" t="s">
        <v>943</v>
      </c>
      <c r="W45" s="296" t="s">
        <v>944</v>
      </c>
    </row>
    <row r="46" spans="1:23" x14ac:dyDescent="0.25">
      <c r="A46" s="297" t="s">
        <v>945</v>
      </c>
      <c r="B46" s="297"/>
      <c r="C46" s="297" t="s">
        <v>946</v>
      </c>
      <c r="D46" s="298" t="s">
        <v>947</v>
      </c>
      <c r="E46" s="299">
        <v>2</v>
      </c>
      <c r="F46" s="299">
        <v>30</v>
      </c>
      <c r="G46" s="299">
        <v>1</v>
      </c>
      <c r="H46" s="300">
        <v>2600000</v>
      </c>
      <c r="I46" s="301">
        <v>0.1</v>
      </c>
      <c r="J46" s="300">
        <f t="shared" ref="J46:J47" si="1">+((H46*(1-I46))*F46)*G46</f>
        <v>70200000</v>
      </c>
      <c r="K46" s="300">
        <v>17122779.308699999</v>
      </c>
      <c r="L46" s="300">
        <v>1600000</v>
      </c>
      <c r="M46" s="300">
        <f t="shared" ref="M46:M47" si="2">+(4507200*G46)</f>
        <v>4507200</v>
      </c>
      <c r="N46" s="300">
        <f t="shared" ref="N46:N47" si="3">2014450.9815*G46</f>
        <v>2014450.9815</v>
      </c>
      <c r="O46" s="300">
        <f t="shared" ref="O46:O47" si="4">6974852.54256*G46</f>
        <v>6974852.54256</v>
      </c>
      <c r="P46" s="300">
        <f t="shared" ref="P46:P47" si="5">+(J46*7%)+(J46*0.6%)+((J46*0.6%)*15%)+(J46*1%)+(J46*3%)</f>
        <v>8206380.0000000009</v>
      </c>
      <c r="Q46" s="300">
        <f t="shared" ref="Q46:Q47" si="6">+P46+O46+N46+M46+K46</f>
        <v>38825662.832759999</v>
      </c>
      <c r="R46" s="300">
        <f t="shared" ref="R46:R47" si="7">+J46-Q46</f>
        <v>31374337.167240001</v>
      </c>
      <c r="S46" s="302">
        <f t="shared" ref="S46:S47" si="8">+R46/J46</f>
        <v>0.44692787987521371</v>
      </c>
      <c r="T46" s="300">
        <f t="shared" ref="T46:T47" si="9">+R46*60%</f>
        <v>18824602.300344002</v>
      </c>
      <c r="U46" s="300">
        <f t="shared" ref="U46:U47" si="10">+R46*40%</f>
        <v>12549734.866896002</v>
      </c>
      <c r="V46" s="303">
        <f t="shared" ref="V46:V47" si="11">+(J46-Q46-L46)</f>
        <v>29774337.167240001</v>
      </c>
      <c r="W46" s="302">
        <f t="shared" ref="W46:W47" si="12">+V46/J46</f>
        <v>0.4241358570831909</v>
      </c>
    </row>
    <row r="47" spans="1:23" ht="30" x14ac:dyDescent="0.25">
      <c r="A47" s="297" t="s">
        <v>945</v>
      </c>
      <c r="B47" s="297"/>
      <c r="C47" s="297" t="s">
        <v>946</v>
      </c>
      <c r="D47" s="298" t="s">
        <v>948</v>
      </c>
      <c r="E47" s="299">
        <v>2</v>
      </c>
      <c r="F47" s="299">
        <v>30</v>
      </c>
      <c r="G47" s="299">
        <v>1</v>
      </c>
      <c r="H47" s="300">
        <v>2600000</v>
      </c>
      <c r="I47" s="301">
        <v>0.1</v>
      </c>
      <c r="J47" s="300">
        <f t="shared" si="1"/>
        <v>70200000</v>
      </c>
      <c r="K47" s="300">
        <v>17122779.308699999</v>
      </c>
      <c r="L47" s="300">
        <v>1600000</v>
      </c>
      <c r="M47" s="300">
        <f t="shared" si="2"/>
        <v>4507200</v>
      </c>
      <c r="N47" s="300">
        <f t="shared" si="3"/>
        <v>2014450.9815</v>
      </c>
      <c r="O47" s="300">
        <f t="shared" si="4"/>
        <v>6974852.54256</v>
      </c>
      <c r="P47" s="300">
        <f t="shared" si="5"/>
        <v>8206380.0000000009</v>
      </c>
      <c r="Q47" s="300">
        <f t="shared" si="6"/>
        <v>38825662.832759999</v>
      </c>
      <c r="R47" s="300">
        <f t="shared" si="7"/>
        <v>31374337.167240001</v>
      </c>
      <c r="S47" s="302">
        <f t="shared" si="8"/>
        <v>0.44692787987521371</v>
      </c>
      <c r="T47" s="300">
        <f t="shared" si="9"/>
        <v>18824602.300344002</v>
      </c>
      <c r="U47" s="300">
        <f t="shared" si="10"/>
        <v>12549734.866896002</v>
      </c>
      <c r="V47" s="303">
        <f t="shared" si="11"/>
        <v>29774337.167240001</v>
      </c>
      <c r="W47" s="302">
        <f t="shared" si="12"/>
        <v>0.4241358570831909</v>
      </c>
    </row>
    <row r="50" spans="1:23" x14ac:dyDescent="0.25">
      <c r="A50" s="306" t="s">
        <v>950</v>
      </c>
      <c r="B50" s="306"/>
    </row>
    <row r="51" spans="1:23" ht="60" x14ac:dyDescent="0.25">
      <c r="A51" s="293" t="s">
        <v>924</v>
      </c>
      <c r="B51" s="293"/>
      <c r="C51" s="293" t="s">
        <v>925</v>
      </c>
      <c r="D51" s="293" t="s">
        <v>926</v>
      </c>
      <c r="E51" s="294" t="s">
        <v>927</v>
      </c>
      <c r="F51" s="295" t="s">
        <v>928</v>
      </c>
      <c r="G51" s="295" t="s">
        <v>929</v>
      </c>
      <c r="H51" s="295" t="s">
        <v>930</v>
      </c>
      <c r="I51" s="295" t="s">
        <v>931</v>
      </c>
      <c r="J51" s="295" t="s">
        <v>932</v>
      </c>
      <c r="K51" s="295" t="s">
        <v>933</v>
      </c>
      <c r="L51" s="294" t="s">
        <v>934</v>
      </c>
      <c r="M51" s="295" t="s">
        <v>935</v>
      </c>
      <c r="N51" s="295" t="s">
        <v>936</v>
      </c>
      <c r="O51" s="294" t="s">
        <v>937</v>
      </c>
      <c r="P51" s="294" t="s">
        <v>217</v>
      </c>
      <c r="Q51" s="295" t="s">
        <v>938</v>
      </c>
      <c r="R51" s="295" t="s">
        <v>939</v>
      </c>
      <c r="S51" s="295" t="s">
        <v>940</v>
      </c>
      <c r="T51" s="295" t="s">
        <v>941</v>
      </c>
      <c r="U51" s="295" t="s">
        <v>942</v>
      </c>
      <c r="V51" s="296" t="s">
        <v>943</v>
      </c>
      <c r="W51" s="296" t="s">
        <v>944</v>
      </c>
    </row>
    <row r="52" spans="1:23" x14ac:dyDescent="0.25">
      <c r="A52" s="297" t="s">
        <v>945</v>
      </c>
      <c r="B52" s="297"/>
      <c r="C52" s="297" t="s">
        <v>946</v>
      </c>
      <c r="D52" s="298" t="s">
        <v>947</v>
      </c>
      <c r="E52" s="299">
        <v>2</v>
      </c>
      <c r="F52" s="299">
        <v>23</v>
      </c>
      <c r="G52" s="299">
        <v>2</v>
      </c>
      <c r="H52" s="300">
        <v>2600000</v>
      </c>
      <c r="I52" s="301">
        <v>0.1</v>
      </c>
      <c r="J52" s="300">
        <f t="shared" ref="J52:J54" si="13">+((H52*(1-I52))*F52)*G52</f>
        <v>107640000</v>
      </c>
      <c r="K52" s="300">
        <v>17122779.308699999</v>
      </c>
      <c r="L52" s="300">
        <v>1600000</v>
      </c>
      <c r="M52" s="300">
        <f t="shared" ref="M52:M54" si="14">+(4507200*G52)</f>
        <v>9014400</v>
      </c>
      <c r="N52" s="300">
        <f t="shared" ref="N52:N54" si="15">2014450.9815*G52</f>
        <v>4028901.963</v>
      </c>
      <c r="O52" s="300">
        <f t="shared" ref="O52:O54" si="16">6974852.54256*G52</f>
        <v>13949705.08512</v>
      </c>
      <c r="P52" s="300">
        <f t="shared" ref="P52:P54" si="17">+(J52*7%)+(J52*0.6%)+((J52*0.6%)*15%)+(J52*1%)+(J52*3%)</f>
        <v>12583116</v>
      </c>
      <c r="Q52" s="300">
        <f t="shared" ref="Q52:Q54" si="18">+P52+O52+N52+M52+K52</f>
        <v>56698902.356820002</v>
      </c>
      <c r="R52" s="300">
        <f t="shared" ref="R52:R54" si="19">+J52-Q52</f>
        <v>50941097.643179998</v>
      </c>
      <c r="S52" s="302">
        <f t="shared" ref="S52:S54" si="20">+R52/J52</f>
        <v>0.47325434451114823</v>
      </c>
      <c r="T52" s="300">
        <f t="shared" ref="T52:T54" si="21">+R52*60%</f>
        <v>30564658.585907996</v>
      </c>
      <c r="U52" s="300">
        <f t="shared" ref="U52:U54" si="22">+R52*40%</f>
        <v>20376439.057272002</v>
      </c>
      <c r="V52" s="303">
        <f t="shared" ref="V52:V54" si="23">+(J52-Q52-L52)</f>
        <v>49341097.643179998</v>
      </c>
      <c r="W52" s="302">
        <f t="shared" ref="W52:W54" si="24">+V52/J52</f>
        <v>0.45838998182069862</v>
      </c>
    </row>
    <row r="53" spans="1:23" ht="30" x14ac:dyDescent="0.25">
      <c r="A53" s="297" t="s">
        <v>945</v>
      </c>
      <c r="B53" s="297"/>
      <c r="C53" s="297" t="s">
        <v>1000</v>
      </c>
      <c r="D53" s="298" t="s">
        <v>948</v>
      </c>
      <c r="E53" s="299">
        <v>2</v>
      </c>
      <c r="F53" s="299">
        <v>23</v>
      </c>
      <c r="G53" s="299">
        <v>2</v>
      </c>
      <c r="H53" s="300">
        <v>2600000</v>
      </c>
      <c r="I53" s="301">
        <v>0.1</v>
      </c>
      <c r="J53" s="300">
        <f t="shared" si="13"/>
        <v>107640000</v>
      </c>
      <c r="K53" s="300">
        <v>17122779.308699999</v>
      </c>
      <c r="L53" s="300">
        <v>1600000</v>
      </c>
      <c r="M53" s="300">
        <f t="shared" si="14"/>
        <v>9014400</v>
      </c>
      <c r="N53" s="300">
        <f t="shared" si="15"/>
        <v>4028901.963</v>
      </c>
      <c r="O53" s="300">
        <f t="shared" si="16"/>
        <v>13949705.08512</v>
      </c>
      <c r="P53" s="300">
        <f t="shared" si="17"/>
        <v>12583116</v>
      </c>
      <c r="Q53" s="300">
        <f t="shared" si="18"/>
        <v>56698902.356820002</v>
      </c>
      <c r="R53" s="300">
        <f t="shared" si="19"/>
        <v>50941097.643179998</v>
      </c>
      <c r="S53" s="302">
        <f t="shared" si="20"/>
        <v>0.47325434451114823</v>
      </c>
      <c r="T53" s="300">
        <f t="shared" si="21"/>
        <v>30564658.585907996</v>
      </c>
      <c r="U53" s="300">
        <f t="shared" si="22"/>
        <v>20376439.057272002</v>
      </c>
      <c r="V53" s="303">
        <f t="shared" si="23"/>
        <v>49341097.643179998</v>
      </c>
      <c r="W53" s="302">
        <f t="shared" si="24"/>
        <v>0.45838998182069862</v>
      </c>
    </row>
    <row r="54" spans="1:23" ht="31.5" customHeight="1" x14ac:dyDescent="0.25">
      <c r="A54" s="297" t="s">
        <v>945</v>
      </c>
      <c r="B54" s="297"/>
      <c r="C54" s="297" t="s">
        <v>1000</v>
      </c>
      <c r="D54" s="351" t="s">
        <v>999</v>
      </c>
      <c r="E54" s="299">
        <v>2</v>
      </c>
      <c r="F54" s="299">
        <v>23</v>
      </c>
      <c r="G54" s="299">
        <v>2</v>
      </c>
      <c r="H54" s="300">
        <v>2600000</v>
      </c>
      <c r="I54" s="301">
        <v>0.1</v>
      </c>
      <c r="J54" s="300">
        <f t="shared" si="13"/>
        <v>107640000</v>
      </c>
      <c r="K54" s="300">
        <v>17122779.308699999</v>
      </c>
      <c r="L54" s="300">
        <v>1600000</v>
      </c>
      <c r="M54" s="300">
        <f t="shared" si="14"/>
        <v>9014400</v>
      </c>
      <c r="N54" s="300">
        <f t="shared" si="15"/>
        <v>4028901.963</v>
      </c>
      <c r="O54" s="300">
        <f t="shared" si="16"/>
        <v>13949705.08512</v>
      </c>
      <c r="P54" s="300">
        <f t="shared" si="17"/>
        <v>12583116</v>
      </c>
      <c r="Q54" s="300">
        <f t="shared" si="18"/>
        <v>56698902.356820002</v>
      </c>
      <c r="R54" s="300">
        <f t="shared" si="19"/>
        <v>50941097.643179998</v>
      </c>
      <c r="S54" s="302">
        <f t="shared" si="20"/>
        <v>0.47325434451114823</v>
      </c>
      <c r="T54" s="300">
        <f t="shared" si="21"/>
        <v>30564658.585907996</v>
      </c>
      <c r="U54" s="300">
        <f t="shared" si="22"/>
        <v>20376439.057272002</v>
      </c>
      <c r="V54" s="303">
        <f t="shared" si="23"/>
        <v>49341097.643179998</v>
      </c>
      <c r="W54" s="302">
        <f t="shared" si="24"/>
        <v>0.45838998182069862</v>
      </c>
    </row>
    <row r="57" spans="1:23" x14ac:dyDescent="0.25">
      <c r="A57" s="307" t="s">
        <v>951</v>
      </c>
      <c r="B57" s="307"/>
    </row>
    <row r="59" spans="1:23" x14ac:dyDescent="0.25">
      <c r="A59" s="328" t="s">
        <v>981</v>
      </c>
      <c r="B59" s="328"/>
      <c r="C59" s="329"/>
    </row>
    <row r="60" spans="1:23" x14ac:dyDescent="0.25">
      <c r="A60" s="330"/>
      <c r="B60" s="330"/>
      <c r="C60" s="331"/>
    </row>
    <row r="61" spans="1:23" x14ac:dyDescent="0.25">
      <c r="A61" s="330" t="s">
        <v>957</v>
      </c>
      <c r="B61" s="330"/>
      <c r="C61" s="331"/>
    </row>
    <row r="62" spans="1:23" x14ac:dyDescent="0.25">
      <c r="A62" s="336" t="s">
        <v>993</v>
      </c>
      <c r="B62" s="336"/>
      <c r="C62" s="337" t="s">
        <v>994</v>
      </c>
      <c r="E62" s="287" t="s">
        <v>997</v>
      </c>
      <c r="F62" s="299" t="s">
        <v>974</v>
      </c>
      <c r="G62" s="299" t="s">
        <v>975</v>
      </c>
    </row>
    <row r="63" spans="1:23" ht="45" x14ac:dyDescent="0.25">
      <c r="A63" s="339" t="s">
        <v>996</v>
      </c>
      <c r="B63" s="339"/>
      <c r="C63" s="338" t="s">
        <v>995</v>
      </c>
      <c r="E63" s="341" t="s">
        <v>264</v>
      </c>
      <c r="F63" s="340">
        <v>98272000</v>
      </c>
      <c r="G63" s="302">
        <v>1</v>
      </c>
    </row>
    <row r="64" spans="1:23" x14ac:dyDescent="0.25">
      <c r="A64" s="330"/>
      <c r="B64" s="330"/>
      <c r="C64" s="331"/>
      <c r="E64" s="341" t="s">
        <v>972</v>
      </c>
      <c r="F64" s="350">
        <v>62300000</v>
      </c>
      <c r="G64" s="302">
        <f>+F64/$F$63</f>
        <v>0.63395473787040058</v>
      </c>
    </row>
    <row r="65" spans="1:7" s="331" customFormat="1" x14ac:dyDescent="0.25">
      <c r="A65" s="330"/>
      <c r="B65" s="330"/>
      <c r="E65" s="347" t="s">
        <v>969</v>
      </c>
      <c r="F65" s="348">
        <f>+F63-F64</f>
        <v>35972000</v>
      </c>
      <c r="G65" s="349">
        <f t="shared" ref="G65:G67" si="25">+F65/$F$63</f>
        <v>0.36604526212959948</v>
      </c>
    </row>
    <row r="66" spans="1:7" s="331" customFormat="1" x14ac:dyDescent="0.25">
      <c r="A66" s="330" t="s">
        <v>991</v>
      </c>
      <c r="B66" s="330"/>
      <c r="E66" s="341" t="s">
        <v>971</v>
      </c>
      <c r="F66" s="340">
        <v>16000000</v>
      </c>
      <c r="G66" s="302">
        <f t="shared" si="25"/>
        <v>0.16281341582546402</v>
      </c>
    </row>
    <row r="67" spans="1:7" s="331" customFormat="1" x14ac:dyDescent="0.25">
      <c r="A67" s="333" t="s">
        <v>990</v>
      </c>
      <c r="B67" s="333"/>
      <c r="C67" s="335" t="s">
        <v>974</v>
      </c>
      <c r="E67" s="347" t="s">
        <v>970</v>
      </c>
      <c r="F67" s="348">
        <f>+F65-F66</f>
        <v>19972000</v>
      </c>
      <c r="G67" s="349">
        <f t="shared" si="25"/>
        <v>0.20323184630413546</v>
      </c>
    </row>
    <row r="68" spans="1:7" x14ac:dyDescent="0.25">
      <c r="A68" s="278" t="s">
        <v>920</v>
      </c>
      <c r="B68" s="278"/>
      <c r="C68" s="318">
        <f>2000*3800</f>
        <v>7600000</v>
      </c>
    </row>
    <row r="69" spans="1:7" x14ac:dyDescent="0.25">
      <c r="A69" s="278" t="s">
        <v>921</v>
      </c>
      <c r="B69" s="278"/>
      <c r="C69" s="318">
        <f>336*3800</f>
        <v>1276800</v>
      </c>
      <c r="E69" s="287" t="s">
        <v>997</v>
      </c>
      <c r="F69" s="299" t="s">
        <v>974</v>
      </c>
      <c r="G69" s="299" t="s">
        <v>975</v>
      </c>
    </row>
    <row r="70" spans="1:7" x14ac:dyDescent="0.25">
      <c r="A70" s="334" t="s">
        <v>987</v>
      </c>
      <c r="B70" s="334"/>
      <c r="C70" s="318">
        <v>3000000</v>
      </c>
      <c r="E70" s="341" t="s">
        <v>264</v>
      </c>
      <c r="F70" s="340">
        <f>+F63*3</f>
        <v>294816000</v>
      </c>
      <c r="G70" s="302">
        <v>1</v>
      </c>
    </row>
    <row r="71" spans="1:7" ht="22.5" customHeight="1" x14ac:dyDescent="0.25">
      <c r="A71" s="298" t="s">
        <v>988</v>
      </c>
      <c r="B71" s="298"/>
      <c r="C71" s="318">
        <v>15000000</v>
      </c>
      <c r="E71" s="341" t="s">
        <v>972</v>
      </c>
      <c r="F71" s="340">
        <f t="shared" ref="F71:F74" si="26">+F64*3</f>
        <v>186900000</v>
      </c>
      <c r="G71" s="302">
        <f>+F71/+$F$70</f>
        <v>0.63395473787040058</v>
      </c>
    </row>
    <row r="72" spans="1:7" x14ac:dyDescent="0.25">
      <c r="A72" s="320" t="s">
        <v>989</v>
      </c>
      <c r="B72" s="320"/>
      <c r="C72" s="318">
        <v>1000000</v>
      </c>
      <c r="E72" s="347" t="s">
        <v>969</v>
      </c>
      <c r="F72" s="348">
        <f t="shared" si="26"/>
        <v>107916000</v>
      </c>
      <c r="G72" s="349">
        <f t="shared" ref="G72:G74" si="27">+F72/+$F$70</f>
        <v>0.36604526212959948</v>
      </c>
    </row>
    <row r="73" spans="1:7" x14ac:dyDescent="0.25">
      <c r="A73" s="320" t="s">
        <v>992</v>
      </c>
      <c r="B73" s="320"/>
      <c r="C73" s="318">
        <v>12084000</v>
      </c>
      <c r="E73" s="341" t="s">
        <v>971</v>
      </c>
      <c r="F73" s="340">
        <f t="shared" si="26"/>
        <v>48000000</v>
      </c>
      <c r="G73" s="302">
        <f t="shared" si="27"/>
        <v>0.16281341582546402</v>
      </c>
    </row>
    <row r="74" spans="1:7" x14ac:dyDescent="0.25">
      <c r="A74" s="309" t="s">
        <v>373</v>
      </c>
      <c r="B74" s="309"/>
      <c r="C74" s="346">
        <f>SUM(C68:C73)</f>
        <v>39960800</v>
      </c>
      <c r="E74" s="347" t="s">
        <v>970</v>
      </c>
      <c r="F74" s="348">
        <f t="shared" si="26"/>
        <v>59916000</v>
      </c>
      <c r="G74" s="349">
        <f t="shared" si="27"/>
        <v>0.20323184630413546</v>
      </c>
    </row>
    <row r="75" spans="1:7" x14ac:dyDescent="0.25">
      <c r="A75" s="309"/>
      <c r="B75" s="309"/>
      <c r="C75" s="342"/>
      <c r="E75" s="343"/>
      <c r="F75" s="344"/>
      <c r="G75" s="345"/>
    </row>
    <row r="76" spans="1:7" x14ac:dyDescent="0.25">
      <c r="A76" s="309"/>
      <c r="B76" s="309"/>
      <c r="C76" s="342"/>
      <c r="E76" s="341" t="s">
        <v>998</v>
      </c>
      <c r="F76" s="340">
        <f>+C74/3</f>
        <v>13320266.666666666</v>
      </c>
      <c r="G76" s="345"/>
    </row>
    <row r="77" spans="1:7" x14ac:dyDescent="0.25">
      <c r="A77" s="309"/>
      <c r="B77" s="309"/>
      <c r="C77" s="342"/>
      <c r="E77" s="343"/>
      <c r="F77" s="344"/>
      <c r="G77" s="345"/>
    </row>
    <row r="79" spans="1:7" x14ac:dyDescent="0.25">
      <c r="A79" s="328" t="s">
        <v>982</v>
      </c>
      <c r="B79" s="328"/>
      <c r="C79" s="329"/>
    </row>
    <row r="81" spans="1:7" x14ac:dyDescent="0.25">
      <c r="A81" s="2" t="s">
        <v>954</v>
      </c>
      <c r="B81" s="2"/>
    </row>
    <row r="83" spans="1:7" x14ac:dyDescent="0.25">
      <c r="A83" s="277" t="s">
        <v>957</v>
      </c>
      <c r="B83" s="393"/>
    </row>
    <row r="84" spans="1:7" ht="60" customHeight="1" x14ac:dyDescent="0.25">
      <c r="A84" s="311" t="s">
        <v>952</v>
      </c>
      <c r="B84" s="311"/>
      <c r="C84" s="312" t="s">
        <v>955</v>
      </c>
    </row>
    <row r="85" spans="1:7" ht="24" customHeight="1" x14ac:dyDescent="0.25">
      <c r="A85" s="313" t="s">
        <v>953</v>
      </c>
      <c r="B85" s="313"/>
      <c r="C85" s="352">
        <f>106/3</f>
        <v>35.333333333333336</v>
      </c>
    </row>
    <row r="86" spans="1:7" ht="36.75" customHeight="1" x14ac:dyDescent="0.25">
      <c r="A86" s="311" t="s">
        <v>958</v>
      </c>
      <c r="B86" s="311"/>
      <c r="C86" s="315" t="s">
        <v>959</v>
      </c>
    </row>
    <row r="87" spans="1:7" ht="135" x14ac:dyDescent="0.25">
      <c r="A87" s="311" t="s">
        <v>956</v>
      </c>
      <c r="B87" s="311"/>
      <c r="C87" s="298" t="s">
        <v>962</v>
      </c>
    </row>
    <row r="90" spans="1:7" ht="30" x14ac:dyDescent="0.25">
      <c r="A90" s="310" t="s">
        <v>961</v>
      </c>
      <c r="B90" s="310"/>
    </row>
    <row r="91" spans="1:7" x14ac:dyDescent="0.25">
      <c r="A91" s="316" t="s">
        <v>960</v>
      </c>
      <c r="B91" s="316"/>
      <c r="C91" s="236" t="s">
        <v>966</v>
      </c>
      <c r="D91" s="236" t="s">
        <v>967</v>
      </c>
      <c r="E91" s="236" t="s">
        <v>264</v>
      </c>
    </row>
    <row r="92" spans="1:7" ht="26.25" customHeight="1" x14ac:dyDescent="0.25">
      <c r="A92" s="297" t="s">
        <v>963</v>
      </c>
      <c r="B92" s="297"/>
      <c r="C92" s="314">
        <f>35*3</f>
        <v>105</v>
      </c>
      <c r="D92" s="318">
        <v>1600000</v>
      </c>
      <c r="E92" s="319">
        <f>+C92*D92</f>
        <v>168000000</v>
      </c>
      <c r="G92" s="308" t="s">
        <v>968</v>
      </c>
    </row>
    <row r="93" spans="1:7" x14ac:dyDescent="0.25">
      <c r="A93" s="353" t="s">
        <v>964</v>
      </c>
      <c r="B93" s="353"/>
      <c r="C93" s="354">
        <f>+C92*0.6</f>
        <v>63</v>
      </c>
      <c r="D93" s="355">
        <v>7000000</v>
      </c>
      <c r="E93" s="356">
        <f t="shared" ref="E93:E94" si="28">+C93*D93</f>
        <v>441000000</v>
      </c>
    </row>
    <row r="94" spans="1:7" x14ac:dyDescent="0.25">
      <c r="A94" s="353" t="s">
        <v>965</v>
      </c>
      <c r="B94" s="353"/>
      <c r="C94" s="354">
        <f>+C93*0.2</f>
        <v>12.600000000000001</v>
      </c>
      <c r="D94" s="355">
        <v>14000000</v>
      </c>
      <c r="E94" s="356">
        <f t="shared" si="28"/>
        <v>176400000.00000003</v>
      </c>
    </row>
    <row r="95" spans="1:7" x14ac:dyDescent="0.25">
      <c r="A95" s="357" t="s">
        <v>373</v>
      </c>
      <c r="B95" s="357"/>
      <c r="C95" s="353"/>
      <c r="D95" s="353"/>
      <c r="E95" s="358">
        <f>SUM(E92:E94)</f>
        <v>785400000</v>
      </c>
    </row>
    <row r="97" spans="1:4" x14ac:dyDescent="0.25">
      <c r="A97" s="307" t="s">
        <v>973</v>
      </c>
      <c r="B97" s="307"/>
      <c r="C97" s="236" t="s">
        <v>974</v>
      </c>
      <c r="D97" s="236" t="s">
        <v>975</v>
      </c>
    </row>
    <row r="98" spans="1:4" x14ac:dyDescent="0.25">
      <c r="A98" s="271" t="s">
        <v>264</v>
      </c>
      <c r="B98" s="271"/>
      <c r="C98" s="324">
        <f>+E95</f>
        <v>785400000</v>
      </c>
      <c r="D98" s="325">
        <v>1</v>
      </c>
    </row>
    <row r="99" spans="1:4" x14ac:dyDescent="0.25">
      <c r="A99" s="321" t="s">
        <v>972</v>
      </c>
      <c r="B99" s="321"/>
      <c r="C99" s="324">
        <f>+C98*0.6</f>
        <v>471240000</v>
      </c>
      <c r="D99" s="325">
        <f>+C99/C98</f>
        <v>0.6</v>
      </c>
    </row>
    <row r="100" spans="1:4" x14ac:dyDescent="0.25">
      <c r="A100" s="322" t="s">
        <v>969</v>
      </c>
      <c r="B100" s="322"/>
      <c r="C100" s="326">
        <f>+C98-C99</f>
        <v>314160000</v>
      </c>
      <c r="D100" s="325">
        <f>+C100/C98</f>
        <v>0.4</v>
      </c>
    </row>
    <row r="101" spans="1:4" ht="30" x14ac:dyDescent="0.25">
      <c r="A101" s="321" t="s">
        <v>971</v>
      </c>
      <c r="B101" s="321"/>
      <c r="C101" s="324">
        <f>+C100*0.3</f>
        <v>94248000</v>
      </c>
      <c r="D101" s="327">
        <f>+C101/C98</f>
        <v>0.12</v>
      </c>
    </row>
    <row r="102" spans="1:4" x14ac:dyDescent="0.25">
      <c r="A102" s="323" t="s">
        <v>970</v>
      </c>
      <c r="B102" s="323"/>
      <c r="C102" s="326">
        <f>+C100-C101</f>
        <v>219912000</v>
      </c>
      <c r="D102" s="327">
        <f>+C102/C98</f>
        <v>0.28000000000000003</v>
      </c>
    </row>
    <row r="104" spans="1:4" x14ac:dyDescent="0.25">
      <c r="A104" s="2" t="s">
        <v>976</v>
      </c>
      <c r="B104" s="2"/>
    </row>
    <row r="105" spans="1:4" ht="45" x14ac:dyDescent="0.25">
      <c r="A105" s="298" t="s">
        <v>977</v>
      </c>
      <c r="B105" s="298"/>
      <c r="C105" s="318">
        <v>15000000</v>
      </c>
    </row>
    <row r="106" spans="1:4" ht="21.75" customHeight="1" x14ac:dyDescent="0.25">
      <c r="A106" s="297" t="s">
        <v>978</v>
      </c>
      <c r="B106" s="297"/>
      <c r="C106" s="318">
        <v>4000000</v>
      </c>
    </row>
    <row r="107" spans="1:4" ht="30" x14ac:dyDescent="0.25">
      <c r="A107" s="298" t="s">
        <v>979</v>
      </c>
      <c r="B107" s="298"/>
      <c r="C107" s="318">
        <v>0</v>
      </c>
    </row>
    <row r="108" spans="1:4" x14ac:dyDescent="0.25">
      <c r="A108" s="333" t="s">
        <v>980</v>
      </c>
      <c r="B108" s="333"/>
      <c r="C108" s="359">
        <f>SUM(C105:C107)</f>
        <v>19000000</v>
      </c>
    </row>
    <row r="110" spans="1:4" x14ac:dyDescent="0.25">
      <c r="A110" s="328" t="s">
        <v>983</v>
      </c>
      <c r="B110" s="328"/>
      <c r="C110" s="329"/>
    </row>
    <row r="112" spans="1:4" x14ac:dyDescent="0.25">
      <c r="A112" s="333" t="s">
        <v>984</v>
      </c>
      <c r="B112" s="333"/>
      <c r="C112" s="363">
        <v>50000000</v>
      </c>
    </row>
    <row r="114" spans="1:3" x14ac:dyDescent="0.25">
      <c r="A114" s="328" t="s">
        <v>985</v>
      </c>
      <c r="B114" s="328"/>
      <c r="C114" s="329"/>
    </row>
    <row r="115" spans="1:3" s="331" customFormat="1" x14ac:dyDescent="0.25">
      <c r="A115" s="330"/>
      <c r="B115" s="330"/>
    </row>
    <row r="116" spans="1:3" s="331" customFormat="1" x14ac:dyDescent="0.25">
      <c r="A116" s="332" t="s">
        <v>1002</v>
      </c>
      <c r="B116" s="332"/>
    </row>
    <row r="118" spans="1:3" x14ac:dyDescent="0.25">
      <c r="A118" s="328" t="s">
        <v>1001</v>
      </c>
      <c r="B118" s="328"/>
      <c r="C118" s="329"/>
    </row>
    <row r="119" spans="1:3" s="331" customFormat="1" x14ac:dyDescent="0.25">
      <c r="A119" s="330"/>
      <c r="B119" s="330"/>
    </row>
    <row r="120" spans="1:3" s="331" customFormat="1" ht="18" customHeight="1" x14ac:dyDescent="0.25">
      <c r="A120" s="361" t="s">
        <v>1004</v>
      </c>
      <c r="B120" s="361"/>
      <c r="C120" s="362">
        <f>400000*9</f>
        <v>3600000</v>
      </c>
    </row>
    <row r="122" spans="1:3" x14ac:dyDescent="0.25">
      <c r="A122" s="328" t="s">
        <v>986</v>
      </c>
      <c r="B122" s="328"/>
      <c r="C122" s="329"/>
    </row>
    <row r="124" spans="1:3" ht="78" customHeight="1" x14ac:dyDescent="0.25">
      <c r="A124" s="360" t="s">
        <v>1003</v>
      </c>
      <c r="B124" s="360"/>
      <c r="C124" s="318">
        <v>12000000</v>
      </c>
    </row>
    <row r="126" spans="1:3" x14ac:dyDescent="0.25">
      <c r="A126" s="328" t="s">
        <v>1005</v>
      </c>
      <c r="B126" s="328"/>
    </row>
    <row r="129" spans="1:6" ht="45" x14ac:dyDescent="0.25">
      <c r="A129" s="236" t="s">
        <v>1017</v>
      </c>
      <c r="B129" s="236"/>
      <c r="C129" s="236" t="s">
        <v>1011</v>
      </c>
      <c r="D129" s="236" t="s">
        <v>1016</v>
      </c>
      <c r="E129" s="236" t="s">
        <v>1015</v>
      </c>
      <c r="F129" s="366" t="s">
        <v>1014</v>
      </c>
    </row>
    <row r="130" spans="1:6" x14ac:dyDescent="0.25">
      <c r="A130" s="97" t="s">
        <v>1013</v>
      </c>
      <c r="B130" s="97"/>
      <c r="C130" s="97">
        <v>5</v>
      </c>
      <c r="D130" s="97">
        <v>30</v>
      </c>
      <c r="E130" s="97">
        <v>142</v>
      </c>
      <c r="F130" s="97">
        <f>+D130+E130</f>
        <v>172</v>
      </c>
    </row>
    <row r="131" spans="1:6" x14ac:dyDescent="0.25">
      <c r="A131" s="97" t="s">
        <v>1012</v>
      </c>
      <c r="B131" s="97"/>
      <c r="C131" s="97">
        <v>5</v>
      </c>
      <c r="D131" s="97">
        <v>66</v>
      </c>
      <c r="E131" s="97">
        <v>146</v>
      </c>
      <c r="F131" s="97">
        <f>+D131+E131</f>
        <v>212</v>
      </c>
    </row>
    <row r="132" spans="1:6" x14ac:dyDescent="0.25">
      <c r="A132" s="236" t="s">
        <v>373</v>
      </c>
      <c r="B132" s="236"/>
      <c r="C132" s="236">
        <f>SUM(C130:C131)</f>
        <v>10</v>
      </c>
      <c r="D132" s="236">
        <f>SUM(D130:D131)</f>
        <v>96</v>
      </c>
      <c r="E132" s="236">
        <f>SUM(E130:E131)</f>
        <v>288</v>
      </c>
      <c r="F132" s="236">
        <f>SUM(F130:F131)</f>
        <v>384</v>
      </c>
    </row>
    <row r="134" spans="1:6" x14ac:dyDescent="0.25">
      <c r="A134" s="97"/>
      <c r="B134" s="97"/>
      <c r="C134" s="236" t="s">
        <v>1011</v>
      </c>
      <c r="D134" s="236" t="s">
        <v>1010</v>
      </c>
      <c r="E134" s="236" t="s">
        <v>1009</v>
      </c>
      <c r="F134" s="236" t="s">
        <v>1008</v>
      </c>
    </row>
    <row r="135" spans="1:6" x14ac:dyDescent="0.25">
      <c r="A135" s="97" t="s">
        <v>1007</v>
      </c>
      <c r="B135" s="97"/>
      <c r="C135" s="97">
        <v>2</v>
      </c>
      <c r="D135" s="365">
        <v>0.2</v>
      </c>
      <c r="E135" s="364">
        <f>+D132*D135</f>
        <v>19.200000000000003</v>
      </c>
      <c r="F135" s="364">
        <f>+E132*D135</f>
        <v>57.6</v>
      </c>
    </row>
    <row r="136" spans="1:6" x14ac:dyDescent="0.25">
      <c r="A136" s="97" t="s">
        <v>1006</v>
      </c>
      <c r="B136" s="97"/>
      <c r="C136" s="97">
        <v>8</v>
      </c>
      <c r="D136" s="365">
        <v>0.8</v>
      </c>
      <c r="E136" s="364">
        <f>+D132*D136</f>
        <v>76.800000000000011</v>
      </c>
      <c r="F136" s="364">
        <f>+E132*D136</f>
        <v>230.4</v>
      </c>
    </row>
    <row r="138" spans="1:6" ht="21" customHeight="1" x14ac:dyDescent="0.25">
      <c r="A138" s="507" t="s">
        <v>1021</v>
      </c>
      <c r="B138" s="508"/>
      <c r="C138" s="509"/>
    </row>
    <row r="139" spans="1:6" ht="30" x14ac:dyDescent="0.25">
      <c r="A139" s="367" t="s">
        <v>1018</v>
      </c>
      <c r="B139" s="367"/>
      <c r="C139" s="319">
        <f>+C74</f>
        <v>39960800</v>
      </c>
    </row>
    <row r="140" spans="1:6" ht="46.5" customHeight="1" x14ac:dyDescent="0.25">
      <c r="A140" s="367" t="s">
        <v>1022</v>
      </c>
      <c r="B140" s="367"/>
      <c r="C140" s="319">
        <f>+C108</f>
        <v>19000000</v>
      </c>
    </row>
    <row r="141" spans="1:6" ht="45" x14ac:dyDescent="0.25">
      <c r="A141" s="367" t="s">
        <v>1019</v>
      </c>
      <c r="B141" s="367"/>
      <c r="C141" s="318">
        <v>50000000</v>
      </c>
    </row>
    <row r="142" spans="1:6" ht="30" x14ac:dyDescent="0.25">
      <c r="A142" s="367" t="s">
        <v>1020</v>
      </c>
      <c r="B142" s="367"/>
      <c r="C142" s="368">
        <f>400000*9</f>
        <v>3600000</v>
      </c>
    </row>
    <row r="143" spans="1:6" ht="21" customHeight="1" x14ac:dyDescent="0.25">
      <c r="A143" s="369" t="s">
        <v>986</v>
      </c>
      <c r="B143" s="369"/>
      <c r="C143" s="318">
        <v>12000000</v>
      </c>
    </row>
    <row r="144" spans="1:6" ht="21.75" customHeight="1" x14ac:dyDescent="0.25">
      <c r="A144" s="370" t="s">
        <v>1005</v>
      </c>
      <c r="B144" s="370"/>
      <c r="C144" s="371">
        <v>288000000</v>
      </c>
    </row>
    <row r="145" spans="1:3" x14ac:dyDescent="0.25">
      <c r="A145" s="277" t="s">
        <v>373</v>
      </c>
      <c r="B145" s="277"/>
      <c r="C145" s="317">
        <f>SUM(C139:C144)</f>
        <v>412560800</v>
      </c>
    </row>
  </sheetData>
  <mergeCells count="2">
    <mergeCell ref="A2:E2"/>
    <mergeCell ref="A138:C138"/>
  </mergeCells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< ! [ C D A T A [ A 2 0 1 8 _ c d b 9 4 3 f 5 - b b b 4 - 4 3 c 4 - 9 5 b f - a 7 c 9 4 0 c c 6 0 f d , A 2 0 1 9 _ 2 6 d c 9 e f c - 5 1 e 3 - 4 1 e f - 9 1 4 2 - 2 d 8 8 5 4 3 a 1 7 8 4 , A 2 0 2 0 _ c f 6 c f c a 5 - c c 6 d - 4 6 a 7 - b 2 0 b - 0 6 a 2 8 1 d b 4 5 a 2 , A 2 0 2 1 _ 9 2 e 6 f b 3 e - 6 2 a d - 4 2 d 9 - b 5 3 5 - 0 a 0 3 a 5 2 e 9 a 0 e , I F _ c 7 1 e 2 d e 1 - 0 1 2 6 - 4 9 d c - a 2 d 7 - 2 b b 2 4 4 e 1 3 2 7 2 , p o b l a c i o n _ p r e g r a d o _ 9 9 6 9 8 c 3 6 - a b e 2 - 4 a 6 d - b 4 1 c - 8 5 1 6 b 2 1 8 8 2 b 4 , p o b l a c i o n _ p o s t g r a d o _ 8 9 7 b e 7 5 e - 2 e 7 a - 4 f f 1 - b 9 2 8 - 6 c 3 9 1 8 b 2 f b f 8 ] ] > < / C u s t o m C o n t e n t > < / G e m i n i > 
</file>

<file path=customXml/item10.xml>��< ? x m l   v e r s i o n = " 1 . 0 "   e n c o d i n g = " u t f - 1 6 " ? > < D a t a M a s h u p   s q m i d = " 7 6 7 5 a 0 e 6 - d 3 a e - 4 8 3 6 - 8 2 d 6 - f c 0 0 a 4 2 c 8 e 7 d "   x m l n s = " h t t p : / / s c h e m a s . m i c r o s o f t . c o m / D a t a M a s h u p " > A A A A A B 0 G A A B Q S w M E F A A C A A g A u H D m U m i S S T K j A A A A 9 Q A A A B I A H A B D b 2 5 m a W c v U G F j a 2 F n Z S 5 4 b W w g o h g A K K A U A A A A A A A A A A A A A A A A A A A A A A A A A A A A h Y 8 x D o I w G I W v Q r r T l u q g 5 K c M r B J N T I x r U y o 0 Q D G 0 W O 7 m 4 J G 8 g h h F 3 R z f 9 7 7 h v f v 1 B u n Y N s F F 9 V Z 3 J k E R p i h Q R n a F N m W C B n c K V y j l s B O y F q U K J t n Y e L R F g i r n z j E h 3 n v s F 7 j r S 8 I o j c g x 3 + x l p V q B P r L + L 4 f a W C e M V I j D 4 T W G M 7 x e Y s Y Y p k B m B r k 2 3 5 5 N c 5 / t D 4 R s a N z Q K 6 5 s m G 2 B z B H I + w J / A F B L A w Q U A A I A C A C 4 c O Z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u H D m U u v L p w Y Y A w A A + R Y A A B M A H A B G b 3 J t d W x h c y 9 T Z W N 0 a W 9 u M S 5 t I K I Y A C i g F A A A A A A A A A A A A A A A A A A A A A A A A A A A A O 2 Y 3 W 7 a M B S A 7 5 F 4 B 8 v T J J C y p I n W r d 3 E p I q 1 G 7 t o t 8 K 2 C 1 R V J j l Q S 4 4 d 2 Q 5 b i 3 i q P c J e b C c E R v g r V d V R q o G E k p z j 8 4 s / x 8 Z A a L m S p J l f / b f l U r l k r p i G i B w F e / 4 B q R E B t l w i + D n T v A c S J X X T d 9 + r M I 1 B 2 s p 3 6 L h 1 J S 3 e m w q 9 s j Y x b z w v l d y w D p M M o t Q d O U w U l 9 Y N V e w Z b s F 4 R 5 I J b r g 5 4 Z L J k I N W h 1 5 z F P l 5 s D f x b r w P I E E z 4 T V k V + k Y L q f D v Y h Z h X 6 y N N 3 Q 9 G n V a b 8 H w W N 0 r 2 v U o Q 6 p K 5 H G 0 t S C 1 w 4 5 l q G K u O z V / G A / c M i X V F l o 2 m s B t e m t e 6 o k X F S d v N 5 n F G 1 Y B 2 5 Y p A x J t I p V n + M t x R a 0 W A e H f 8 5 k F j 4 C i 0 C b S t 4 g h 7 T H 8 i M h m i E T T J u a 1 W n R c Y s n i o Q s 7 n D 0 P f X X 0 k y a r M 4 8 8 d Z 1 A q a y M g 1 n M K B M K q y z I e 2 r l 2 4 2 f O i Q A Y 3 B z A q H 0 8 j f m F C a a I A 4 E e x m J v o 5 o C g E H J F C Z T 5 H h 7 p Z S 6 k z H q U n w 1 v w 0 z o D 2 s / 8 0 u G K E k m I k w y / X d 5 L N Q v 5 7 1 8 S c + j h l G N i b f m L K W O R k 4 g O s T i M y D T u g B 5 i + R T M i / o Z X Z G I v z b a 3 f P O + o 9 x c S p e S t 4 H s b L n J 1 w w Q 7 p c W M 0 i V p g / T R A I 3 r n 6 s R D Y R 2 f A w i t S a e O v e Y E W f l A l T E Y o 4 C M U M B s l M w U 9 / n R c / 1 p v n J 3 S a r V c 4 n J V 2 H m 4 D 3 O 4 t 5 z t w w d m + 1 + h / W h k b w r s b e H 6 0 b H e P N U I 9 d 2 Y D v a e A t P B 3 o 7 p H d N b x f R 2 v 6 o D / 0 l g 7 e + w 3 m G 9 T V g X E Z t L o k h Y 4 2 T p M T d P s q 7 Q R E J l M D p o O v n O 2 c l f t v n F L w b K r Y v e E 9 U R o x X g M s H E d V b T 1 h + q F 3 N e g 7 a / / 1 + d s A 0 g 3 l b D x o / Z S W J x r q f Q z 7 I j + S O T F u H I B R q Y K O h H j 0 V 9 Z j B R Z N e I d 0 E D / v Z s o 2 f 3 2 T K K y 0 f W 3 f m q 5 v W z R S 7 V 3 m I 9 b s E y s y X i Q o P W / 9 V w j 9 3 D 7 e t b v r F o 4 x y 8 I O 9 q J F u B 7 r x v K D C s j H 1 6 C 8 8 k 6 X U r z 8 F u 5 Z l S 8 5 e K Z c o C F H P q W a K W K V f b j n l a Y r Q o n a H p w X b g 9 + D k D 1 B L A Q I t A B Q A A g A I A L h w 5 l J o k k k y o w A A A P U A A A A S A A A A A A A A A A A A A A A A A A A A A A B D b 2 5 m a W c v U G F j a 2 F n Z S 5 4 b W x Q S w E C L Q A U A A I A C A C 4 c O Z S D 8 r p q 6 Q A A A D p A A A A E w A A A A A A A A A A A A A A A A D v A A A A W 0 N v b n R l b n R f V H l w Z X N d L n h t b F B L A Q I t A B Q A A g A I A L h w 5 l L r y 6 c G G A M A A P k W A A A T A A A A A A A A A A A A A A A A A O A B A A B G b 3 J t d W x h c y 9 T Z W N 0 a W 9 u M S 5 t U E s F B g A A A A A D A A M A w g A A A E U F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4 C p g A A A A A A A O C l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B M j A x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G a W x s T G F z d F V w Z G F 0 Z W Q i I F Z h b H V l P S J k M j A y M S 0 w N y 0 w N l Q x O T o w N T o y O S 4 y O D Q y N D k 1 W i I g L z 4 8 R W 5 0 c n k g V H l w Z T 0 i R m l s b E N v b H V t b l R 5 c G V z I i B W Y W x 1 Z T 0 i c 0 F 3 T U d C Z 1 l H Q l F Z R 0 J n W U d C Z 0 1 H Q m d Z R 0 J n W U d C Z 1 l H Q m d Z R y I g L z 4 8 R W 5 0 c n k g V H l w Z T 0 i R m l s b E N v b H V t b k 5 h b W V z I i B W Y W x 1 Z T 0 i c 1 s m c X V v d D t h b m 8 m c X V v d D s s J n F 1 b 3 Q 7 b W V z J n F 1 b 3 Q 7 L C Z x d W 9 0 O 2 N 1 Z W 5 0 Y V 9 w c H R v J n F 1 b 3 Q 7 L C Z x d W 9 0 O 2 5 v b W J y Z V 9 j d W V u d G E m c X V v d D s s J n F 1 b 3 Q 7 Z 3 J 1 c G 9 f Y 3 V l b n R h J n F 1 b 3 Q 7 L C Z x d W 9 0 O 2 d y d X B v X 2 F u Y W x p c 2 l z J n F 1 b 3 Q 7 L C Z x d W 9 0 O 3 Z h b G 9 y J n F 1 b 3 Q 7 L C Z x d W 9 0 O 2 l u Z m 9 y b W F j a W 9 u J n F 1 b 3 Q 7 L C Z x d W 9 0 O 2 R l c G F y d G F t Z W 5 0 b 1 9 w Y W R y Z S Z x d W 9 0 O y w m c X V v d D t k Z X B h c n R h b W V u d G 9 f a G l q b y Z x d W 9 0 O y w m c X V v d D t k Z X B h c n R h b W V u d G 9 f a m V y Y X J x d W l h M S Z x d W 9 0 O y w m c X V v d D t k Z X B h c n R h b W V u d G 9 f a m V y Y X J x d W l h M i Z x d W 9 0 O y w m c X V v d D t u b 2 1 i c m V f Z G V w Y X J 0 Y W 1 l b n R v X 3 B h Z H J l J n F 1 b 3 Q 7 L C Z x d W 9 0 O 2 5 1 b W V y b 1 9 u a X Z l b C Z x d W 9 0 O y w m c X V v d D t u b 2 1 i c m V f Z G V w Y X J 0 Y W 1 l b n R v X 2 h p a m 8 m c X V v d D s s J n F 1 b 3 Q 7 c H J v e W V j d G 8 m c X V v d D s s J n F 1 b 3 Q 7 Z 3 J 1 c G 9 f a m V y Y X J x d W l h J n F 1 b 3 Q 7 L C Z x d W 9 0 O 2 5 v b W J y Z V 9 n c n V w b 1 9 q Z X J h c n F 1 a W E m c X V v d D s s J n F 1 b 3 Q 7 d G l w b 1 9 j d W V u d G E m c X V v d D s s J n F 1 b 3 Q 7 b m 9 t Y n J l X 3 R p c G 9 f Y 3 V l b n R h J n F 1 b 3 Q 7 L C Z x d W 9 0 O 3 R p c G 9 f d W 5 p Z G F k J n F 1 b 3 Q 7 L C Z x d W 9 0 O 2 5 v b W J y Z V 9 0 a X B v X 3 V u a W R h Z C Z x d W 9 0 O y w m c X V v d D t 0 a X B v X 3 B y b 2 d y Y W 1 h J n F 1 b 3 Q 7 L C Z x d W 9 0 O 2 5 v b W J y Z V 9 0 a X B v X 3 B y b 2 d y Y W 1 h J n F 1 b 3 Q 7 L C Z x d W 9 0 O 2 5 v b W J y Z V 9 t Z X R v Z G 9 s b 2 d p Y S Z x d W 9 0 O y w m c X V v d D t 0 a X B v X 2 R l c G F y d G F t Z W 5 0 b y Z x d W 9 0 O y w m c X V v d D t o b 3 J p e m 9 u d G U m c X V v d D t d I i A v P j x F b n R y e S B U e X B l P S J G a W x s U 3 R h d H V z I i B W Y W x 1 Z T 0 i c 0 N v b X B s Z X R l I i A v P j x F b n R y e S B U e X B l P S J R d W V y e U l E I i B W Y W x 1 Z T 0 i c 2 E 1 M z d l Z D V k L T l i N m M t N G N h M S 1 h M z A 4 L T U 3 Y z A 2 M T M y Y T d m N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T I w M T g v V m F s b 3 I g c m V l b X B s Y X p h Z G 8 u e 2 F u b y w w f S Z x d W 9 0 O y w m c X V v d D t T Z W N 0 a W 9 u M S 9 B M j A x O C 9 W Y W x v c i B y Z W V t c G x h e m F k b y 5 7 b W V z L D F 9 J n F 1 b 3 Q 7 L C Z x d W 9 0 O 1 N l Y 3 R p b 2 4 x L 0 E y M D E 4 L 1 Z h b G 9 y I H J l Z W 1 w b G F 6 Y W R v L n t j d W V u d G F f c H B 0 b y w y f S Z x d W 9 0 O y w m c X V v d D t T Z W N 0 a W 9 u M S 9 B M j A x O C 9 W Y W x v c i B y Z W V t c G x h e m F k b y 5 7 b m 9 t Y n J l X 2 N 1 Z W 5 0 Y S w z f S Z x d W 9 0 O y w m c X V v d D t T Z W N 0 a W 9 u M S 9 B M j A x O C 9 W Y W x v c i B y Z W V t c G x h e m F k b y 5 7 Z 3 J 1 c G 9 f Y 3 V l b n R h L D R 9 J n F 1 b 3 Q 7 L C Z x d W 9 0 O 1 N l Y 3 R p b 2 4 x L 0 E y M D E 4 L 1 Z h b G 9 y I H J l Z W 1 w b G F 6 Y W R v L n t n c n V w b 1 9 h b m F s a X N p c y w 1 f S Z x d W 9 0 O y w m c X V v d D t T Z W N 0 a W 9 u M S 9 B M j A x O C 9 U a X B v I G N h b W J p Y W R v I G N v b i B j b 2 5 m a W d 1 c m F j a c O z b i B y Z W d p b 2 5 h b C 5 7 d m F s b 3 I s N n 0 m c X V v d D s s J n F 1 b 3 Q 7 U 2 V j d G l v b j E v Q T I w M T g v V m F s b 3 I g c m V l b X B s Y X p h Z G 8 u e 2 l u Z m 9 y b W F j a W 9 u L D d 9 J n F 1 b 3 Q 7 L C Z x d W 9 0 O 1 N l Y 3 R p b 2 4 x L 0 E y M D E 4 L 1 Z h b G 9 y I H J l Z W 1 w b G F 6 Y W R v L n t k Z X B h c n R h b W V u d G 9 f c G F k c m U s O H 0 m c X V v d D s s J n F 1 b 3 Q 7 U 2 V j d G l v b j E v Q T I w M T g v V m F s b 3 I g c m V l b X B s Y X p h Z G 8 u e 2 R l c G F y d G F t Z W 5 0 b 1 9 o a W p v L D l 9 J n F 1 b 3 Q 7 L C Z x d W 9 0 O 1 N l Y 3 R p b 2 4 x L 0 E y M D E 4 L 1 Z h b G 9 y I H J l Z W 1 w b G F 6 Y W R v L n t k Z X B h c n R h b W V u d G 9 f a m V y Y X J x d W l h M S w x M H 0 m c X V v d D s s J n F 1 b 3 Q 7 U 2 V j d G l v b j E v Q T I w M T g v V m F s b 3 I g c m V l b X B s Y X p h Z G 8 u e 2 R l c G F y d G F t Z W 5 0 b 1 9 q Z X J h c n F 1 a W E y L D E x f S Z x d W 9 0 O y w m c X V v d D t T Z W N 0 a W 9 u M S 9 B M j A x O C 9 W Y W x v c i B y Z W V t c G x h e m F k b y 5 7 b m 9 t Y n J l X 2 R l c G F y d G F t Z W 5 0 b 1 9 w Y W R y Z S w x M n 0 m c X V v d D s s J n F 1 b 3 Q 7 U 2 V j d G l v b j E v Q T I w M T g v V G l w b y B j Y W 1 i a W F k b z E u e 2 5 1 b W V y b 1 9 u a X Z l b C w x M 3 0 m c X V v d D s s J n F 1 b 3 Q 7 U 2 V j d G l v b j E v Q T I w M T g v V m F s b 3 I g c m V l b X B s Y X p h Z G 8 u e 2 5 v b W J y Z V 9 k Z X B h c n R h b W V u d G 9 f a G l q b y w x N H 0 m c X V v d D s s J n F 1 b 3 Q 7 U 2 V j d G l v b j E v Q T I w M T g v V m F s b 3 I g c m V l b X B s Y X p h Z G 8 u e 3 B y b 3 l l Y 3 R v L D E 1 f S Z x d W 9 0 O y w m c X V v d D t T Z W N 0 a W 9 u M S 9 B M j A x O C 9 W Y W x v c i B y Z W V t c G x h e m F k b y 5 7 Z 3 J 1 c G 9 f a m V y Y X J x d W l h L D E 2 f S Z x d W 9 0 O y w m c X V v d D t T Z W N 0 a W 9 u M S 9 B M j A x O C 9 W Y W x v c i B y Z W V t c G x h e m F k b y 5 7 b m 9 t Y n J l X 2 d y d X B v X 2 p l c m F y c X V p Y S w x N 3 0 m c X V v d D s s J n F 1 b 3 Q 7 U 2 V j d G l v b j E v Q T I w M T g v V m F s b 3 I g c m V l b X B s Y X p h Z G 8 u e 3 R p c G 9 f Y 3 V l b n R h L D E 4 f S Z x d W 9 0 O y w m c X V v d D t T Z W N 0 a W 9 u M S 9 B M j A x O C 9 W Y W x v c i B y Z W V t c G x h e m F k b y 5 7 b m 9 t Y n J l X 3 R p c G 9 f Y 3 V l b n R h L D E 5 f S Z x d W 9 0 O y w m c X V v d D t T Z W N 0 a W 9 u M S 9 B M j A x O C 9 W Y W x v c i B y Z W V t c G x h e m F k b y 5 7 d G l w b 1 9 1 b m l k Y W Q s M j B 9 J n F 1 b 3 Q 7 L C Z x d W 9 0 O 1 N l Y 3 R p b 2 4 x L 0 E y M D E 4 L 1 Z h b G 9 y I H J l Z W 1 w b G F 6 Y W R v L n t u b 2 1 i c m V f d G l w b 1 9 1 b m l k Y W Q s M j F 9 J n F 1 b 3 Q 7 L C Z x d W 9 0 O 1 N l Y 3 R p b 2 4 x L 0 E y M D E 4 L 1 Z h b G 9 y I H J l Z W 1 w b G F 6 Y W R v L n t 0 a X B v X 3 B y b 2 d y Y W 1 h L D I y f S Z x d W 9 0 O y w m c X V v d D t T Z W N 0 a W 9 u M S 9 B M j A x O C 9 W Y W x v c i B y Z W V t c G x h e m F k b y 5 7 b m 9 t Y n J l X 3 R p c G 9 f c H J v Z 3 J h b W E s M j N 9 J n F 1 b 3 Q 7 L C Z x d W 9 0 O 1 N l Y 3 R p b 2 4 x L 0 E y M D E 4 L 1 Z h b G 9 y I H J l Z W 1 w b G F 6 Y W R v L n t u b 2 1 i c m V f b W V 0 b 2 R v b G 9 n a W E s M j R 9 J n F 1 b 3 Q 7 L C Z x d W 9 0 O 1 N l Y 3 R p b 2 4 x L 0 E y M D E 4 L 1 Z h b G 9 y I H J l Z W 1 w b G F 6 Y W R v L n t 0 a X B v X 2 R l c G F y d G F t Z W 5 0 b y w y N X 0 m c X V v d D s s J n F 1 b 3 Q 7 U 2 V j d G l v b j E v Q T I w M T g v V m F s b 3 I g c m V l b X B s Y X p h Z G 8 u e 2 h v c m l 6 b 2 5 0 Z S w y N n 0 m c X V v d D t d L C Z x d W 9 0 O 0 N v b H V t b k N v d W 5 0 J n F 1 b 3 Q 7 O j I 3 L C Z x d W 9 0 O 0 t l e U N v b H V t b k 5 h b W V z J n F 1 b 3 Q 7 O l t d L C Z x d W 9 0 O 0 N v b H V t b k l k Z W 5 0 a X R p Z X M m c X V v d D s 6 W y Z x d W 9 0 O 1 N l Y 3 R p b 2 4 x L 0 E y M D E 4 L 1 Z h b G 9 y I H J l Z W 1 w b G F 6 Y W R v L n t h b m 8 s M H 0 m c X V v d D s s J n F 1 b 3 Q 7 U 2 V j d G l v b j E v Q T I w M T g v V m F s b 3 I g c m V l b X B s Y X p h Z G 8 u e 2 1 l c y w x f S Z x d W 9 0 O y w m c X V v d D t T Z W N 0 a W 9 u M S 9 B M j A x O C 9 W Y W x v c i B y Z W V t c G x h e m F k b y 5 7 Y 3 V l b n R h X 3 B w d G 8 s M n 0 m c X V v d D s s J n F 1 b 3 Q 7 U 2 V j d G l v b j E v Q T I w M T g v V m F s b 3 I g c m V l b X B s Y X p h Z G 8 u e 2 5 v b W J y Z V 9 j d W V u d G E s M 3 0 m c X V v d D s s J n F 1 b 3 Q 7 U 2 V j d G l v b j E v Q T I w M T g v V m F s b 3 I g c m V l b X B s Y X p h Z G 8 u e 2 d y d X B v X 2 N 1 Z W 5 0 Y S w 0 f S Z x d W 9 0 O y w m c X V v d D t T Z W N 0 a W 9 u M S 9 B M j A x O C 9 W Y W x v c i B y Z W V t c G x h e m F k b y 5 7 Z 3 J 1 c G 9 f Y W 5 h b G l z a X M s N X 0 m c X V v d D s s J n F 1 b 3 Q 7 U 2 V j d G l v b j E v Q T I w M T g v V G l w b y B j Y W 1 i a W F k b y B j b 2 4 g Y 2 9 u Z m l n d X J h Y 2 n D s 2 4 g c m V n a W 9 u Y W w u e 3 Z h b G 9 y L D Z 9 J n F 1 b 3 Q 7 L C Z x d W 9 0 O 1 N l Y 3 R p b 2 4 x L 0 E y M D E 4 L 1 Z h b G 9 y I H J l Z W 1 w b G F 6 Y W R v L n t p b m Z v c m 1 h Y 2 l v b i w 3 f S Z x d W 9 0 O y w m c X V v d D t T Z W N 0 a W 9 u M S 9 B M j A x O C 9 W Y W x v c i B y Z W V t c G x h e m F k b y 5 7 Z G V w Y X J 0 Y W 1 l b n R v X 3 B h Z H J l L D h 9 J n F 1 b 3 Q 7 L C Z x d W 9 0 O 1 N l Y 3 R p b 2 4 x L 0 E y M D E 4 L 1 Z h b G 9 y I H J l Z W 1 w b G F 6 Y W R v L n t k Z X B h c n R h b W V u d G 9 f a G l q b y w 5 f S Z x d W 9 0 O y w m c X V v d D t T Z W N 0 a W 9 u M S 9 B M j A x O C 9 W Y W x v c i B y Z W V t c G x h e m F k b y 5 7 Z G V w Y X J 0 Y W 1 l b n R v X 2 p l c m F y c X V p Y T E s M T B 9 J n F 1 b 3 Q 7 L C Z x d W 9 0 O 1 N l Y 3 R p b 2 4 x L 0 E y M D E 4 L 1 Z h b G 9 y I H J l Z W 1 w b G F 6 Y W R v L n t k Z X B h c n R h b W V u d G 9 f a m V y Y X J x d W l h M i w x M X 0 m c X V v d D s s J n F 1 b 3 Q 7 U 2 V j d G l v b j E v Q T I w M T g v V m F s b 3 I g c m V l b X B s Y X p h Z G 8 u e 2 5 v b W J y Z V 9 k Z X B h c n R h b W V u d G 9 f c G F k c m U s M T J 9 J n F 1 b 3 Q 7 L C Z x d W 9 0 O 1 N l Y 3 R p b 2 4 x L 0 E y M D E 4 L 1 R p c G 8 g Y 2 F t Y m l h Z G 8 x L n t u d W 1 l c m 9 f b m l 2 Z W w s M T N 9 J n F 1 b 3 Q 7 L C Z x d W 9 0 O 1 N l Y 3 R p b 2 4 x L 0 E y M D E 4 L 1 Z h b G 9 y I H J l Z W 1 w b G F 6 Y W R v L n t u b 2 1 i c m V f Z G V w Y X J 0 Y W 1 l b n R v X 2 h p a m 8 s M T R 9 J n F 1 b 3 Q 7 L C Z x d W 9 0 O 1 N l Y 3 R p b 2 4 x L 0 E y M D E 4 L 1 Z h b G 9 y I H J l Z W 1 w b G F 6 Y W R v L n t w c m 9 5 Z W N 0 b y w x N X 0 m c X V v d D s s J n F 1 b 3 Q 7 U 2 V j d G l v b j E v Q T I w M T g v V m F s b 3 I g c m V l b X B s Y X p h Z G 8 u e 2 d y d X B v X 2 p l c m F y c X V p Y S w x N n 0 m c X V v d D s s J n F 1 b 3 Q 7 U 2 V j d G l v b j E v Q T I w M T g v V m F s b 3 I g c m V l b X B s Y X p h Z G 8 u e 2 5 v b W J y Z V 9 n c n V w b 1 9 q Z X J h c n F 1 a W E s M T d 9 J n F 1 b 3 Q 7 L C Z x d W 9 0 O 1 N l Y 3 R p b 2 4 x L 0 E y M D E 4 L 1 Z h b G 9 y I H J l Z W 1 w b G F 6 Y W R v L n t 0 a X B v X 2 N 1 Z W 5 0 Y S w x O H 0 m c X V v d D s s J n F 1 b 3 Q 7 U 2 V j d G l v b j E v Q T I w M T g v V m F s b 3 I g c m V l b X B s Y X p h Z G 8 u e 2 5 v b W J y Z V 9 0 a X B v X 2 N 1 Z W 5 0 Y S w x O X 0 m c X V v d D s s J n F 1 b 3 Q 7 U 2 V j d G l v b j E v Q T I w M T g v V m F s b 3 I g c m V l b X B s Y X p h Z G 8 u e 3 R p c G 9 f d W 5 p Z G F k L D I w f S Z x d W 9 0 O y w m c X V v d D t T Z W N 0 a W 9 u M S 9 B M j A x O C 9 W Y W x v c i B y Z W V t c G x h e m F k b y 5 7 b m 9 t Y n J l X 3 R p c G 9 f d W 5 p Z G F k L D I x f S Z x d W 9 0 O y w m c X V v d D t T Z W N 0 a W 9 u M S 9 B M j A x O C 9 W Y W x v c i B y Z W V t c G x h e m F k b y 5 7 d G l w b 1 9 w c m 9 n c m F t Y S w y M n 0 m c X V v d D s s J n F 1 b 3 Q 7 U 2 V j d G l v b j E v Q T I w M T g v V m F s b 3 I g c m V l b X B s Y X p h Z G 8 u e 2 5 v b W J y Z V 9 0 a X B v X 3 B y b 2 d y Y W 1 h L D I z f S Z x d W 9 0 O y w m c X V v d D t T Z W N 0 a W 9 u M S 9 B M j A x O C 9 W Y W x v c i B y Z W V t c G x h e m F k b y 5 7 b m 9 t Y n J l X 2 1 l d G 9 k b 2 x v Z 2 l h L D I 0 f S Z x d W 9 0 O y w m c X V v d D t T Z W N 0 a W 9 u M S 9 B M j A x O C 9 W Y W x v c i B y Z W V t c G x h e m F k b y 5 7 d G l w b 1 9 k Z X B h c n R h b W V u d G 8 s M j V 9 J n F 1 b 3 Q 7 L C Z x d W 9 0 O 1 N l Y 3 R p b 2 4 x L 0 E y M D E 4 L 1 Z h b G 9 y I H J l Z W 1 w b G F 6 Y W R v L n t o b 3 J p e m 9 u d G U s M j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M j A x O C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M j A x O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M j A x O C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M j A x O C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T I w M T g v V G l w b y U y M G N h b W J p Y W R v J T I w Y 2 9 u J T I w Y 2 9 u Z m l n d X J h Y 2 k l Q z M l Q j N u J T I w c m V n a W 9 u Y W w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M j A x O C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T I w M T g v R m l s Y X M l M j B m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M j A x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G a W x s T G F z d F V w Z G F 0 Z W Q i I F Z h b H V l P S J k M j A y M S 0 w N y 0 w N l Q x O T o w N T o z O S 4 4 O T M 5 M z c z W i I g L z 4 8 R W 5 0 c n k g V H l w Z T 0 i R m l s b E N v b H V t b l R 5 c G V z I i B W Y W x 1 Z T 0 i c 0 F 3 T U d C Z 1 l H Q l F Z R 0 J n W U d C Z 0 1 H Q m d Z R 0 J n W U d C Z 1 l H Q m d Z R y I g L z 4 8 R W 5 0 c n k g V H l w Z T 0 i R m l s b E N v b H V t b k 5 h b W V z I i B W Y W x 1 Z T 0 i c 1 s m c X V v d D t h b m 8 m c X V v d D s s J n F 1 b 3 Q 7 b W V z J n F 1 b 3 Q 7 L C Z x d W 9 0 O 2 N 1 Z W 5 0 Y V 9 w c H R v J n F 1 b 3 Q 7 L C Z x d W 9 0 O 2 5 v b W J y Z V 9 j d W V u d G E m c X V v d D s s J n F 1 b 3 Q 7 Z 3 J 1 c G 9 f Y 3 V l b n R h J n F 1 b 3 Q 7 L C Z x d W 9 0 O 2 d y d X B v X 2 F u Y W x p c 2 l z J n F 1 b 3 Q 7 L C Z x d W 9 0 O 3 Z h b G 9 y J n F 1 b 3 Q 7 L C Z x d W 9 0 O 2 l u Z m 9 y b W F j a W 9 u J n F 1 b 3 Q 7 L C Z x d W 9 0 O 2 R l c G F y d G F t Z W 5 0 b 1 9 w Y W R y Z S Z x d W 9 0 O y w m c X V v d D t k Z X B h c n R h b W V u d G 9 f a G l q b y Z x d W 9 0 O y w m c X V v d D t k Z X B h c n R h b W V u d G 9 f a m V y Y X J x d W l h M S Z x d W 9 0 O y w m c X V v d D t k Z X B h c n R h b W V u d G 9 f a m V y Y X J x d W l h M i Z x d W 9 0 O y w m c X V v d D t u b 2 1 i c m V f Z G V w Y X J 0 Y W 1 l b n R v X 3 B h Z H J l J n F 1 b 3 Q 7 L C Z x d W 9 0 O 2 5 1 b W V y b 1 9 u a X Z l b C Z x d W 9 0 O y w m c X V v d D t u b 2 1 i c m V f Z G V w Y X J 0 Y W 1 l b n R v X 2 h p a m 8 m c X V v d D s s J n F 1 b 3 Q 7 c H J v e W V j d G 8 m c X V v d D s s J n F 1 b 3 Q 7 Z 3 J 1 c G 9 f a m V y Y X J x d W l h J n F 1 b 3 Q 7 L C Z x d W 9 0 O 2 5 v b W J y Z V 9 n c n V w b 1 9 q Z X J h c n F 1 a W E m c X V v d D s s J n F 1 b 3 Q 7 d G l w b 1 9 j d W V u d G E m c X V v d D s s J n F 1 b 3 Q 7 b m 9 t Y n J l X 3 R p c G 9 f Y 3 V l b n R h J n F 1 b 3 Q 7 L C Z x d W 9 0 O 3 R p c G 9 f d W 5 p Z G F k J n F 1 b 3 Q 7 L C Z x d W 9 0 O 2 5 v b W J y Z V 9 0 a X B v X 3 V u a W R h Z C Z x d W 9 0 O y w m c X V v d D t 0 a X B v X 3 B y b 2 d y Y W 1 h J n F 1 b 3 Q 7 L C Z x d W 9 0 O 2 5 v b W J y Z V 9 0 a X B v X 3 B y b 2 d y Y W 1 h J n F 1 b 3 Q 7 L C Z x d W 9 0 O 2 5 v b W J y Z V 9 t Z X R v Z G 9 s b 2 d p Y S Z x d W 9 0 O y w m c X V v d D t 0 a X B v X 2 R l c G F y d G F t Z W 5 0 b y Z x d W 9 0 O y w m c X V v d D t o b 3 J p e m 9 u d G U m c X V v d D t d I i A v P j x F b n R y e S B U e X B l P S J G a W x s U 3 R h d H V z I i B W Y W x 1 Z T 0 i c 0 N v b X B s Z X R l I i A v P j x F b n R y e S B U e X B l P S J R d W V y e U l E I i B W Y W x 1 Z T 0 i c z c y N W M 3 M m E 5 L T A 3 Z W Q t N G Q y N S 1 i N z V i L T U w O D B m M 2 U 5 O W I 3 O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T I w M T k v V m F s b 3 I g c m V l b X B s Y X p h Z G 8 u e 2 F u b y w w f S Z x d W 9 0 O y w m c X V v d D t T Z W N 0 a W 9 u M S 9 B M j A x O S 9 W Y W x v c i B y Z W V t c G x h e m F k b y 5 7 b W V z L D F 9 J n F 1 b 3 Q 7 L C Z x d W 9 0 O 1 N l Y 3 R p b 2 4 x L 0 E y M D E 5 L 1 Z h b G 9 y I H J l Z W 1 w b G F 6 Y W R v L n t j d W V u d G F f c H B 0 b y w y f S Z x d W 9 0 O y w m c X V v d D t T Z W N 0 a W 9 u M S 9 B M j A x O S 9 W Y W x v c i B y Z W V t c G x h e m F k b y 5 7 b m 9 t Y n J l X 2 N 1 Z W 5 0 Y S w z f S Z x d W 9 0 O y w m c X V v d D t T Z W N 0 a W 9 u M S 9 B M j A x O S 9 W Y W x v c i B y Z W V t c G x h e m F k b y 5 7 Z 3 J 1 c G 9 f Y 3 V l b n R h L D R 9 J n F 1 b 3 Q 7 L C Z x d W 9 0 O 1 N l Y 3 R p b 2 4 x L 0 E y M D E 5 L 1 Z h b G 9 y I H J l Z W 1 w b G F 6 Y W R v L n t n c n V w b 1 9 h b m F s a X N p c y w 1 f S Z x d W 9 0 O y w m c X V v d D t T Z W N 0 a W 9 u M S 9 B M j A x O S 9 U a X B v I G N h b W J p Y W R v I G N v b i B j b 2 5 m a W d 1 c m F j a c O z b i B y Z W d p b 2 5 h b C 5 7 d m F s b 3 I s N n 0 m c X V v d D s s J n F 1 b 3 Q 7 U 2 V j d G l v b j E v Q T I w M T k v V m F s b 3 I g c m V l b X B s Y X p h Z G 8 u e 2 l u Z m 9 y b W F j a W 9 u L D d 9 J n F 1 b 3 Q 7 L C Z x d W 9 0 O 1 N l Y 3 R p b 2 4 x L 0 E y M D E 5 L 1 Z h b G 9 y I H J l Z W 1 w b G F 6 Y W R v L n t k Z X B h c n R h b W V u d G 9 f c G F k c m U s O H 0 m c X V v d D s s J n F 1 b 3 Q 7 U 2 V j d G l v b j E v Q T I w M T k v V m F s b 3 I g c m V l b X B s Y X p h Z G 8 u e 2 R l c G F y d G F t Z W 5 0 b 1 9 o a W p v L D l 9 J n F 1 b 3 Q 7 L C Z x d W 9 0 O 1 N l Y 3 R p b 2 4 x L 0 E y M D E 5 L 1 Z h b G 9 y I H J l Z W 1 w b G F 6 Y W R v L n t k Z X B h c n R h b W V u d G 9 f a m V y Y X J x d W l h M S w x M H 0 m c X V v d D s s J n F 1 b 3 Q 7 U 2 V j d G l v b j E v Q T I w M T k v V m F s b 3 I g c m V l b X B s Y X p h Z G 8 u e 2 R l c G F y d G F t Z W 5 0 b 1 9 q Z X J h c n F 1 a W E y L D E x f S Z x d W 9 0 O y w m c X V v d D t T Z W N 0 a W 9 u M S 9 B M j A x O S 9 W Y W x v c i B y Z W V t c G x h e m F k b y 5 7 b m 9 t Y n J l X 2 R l c G F y d G F t Z W 5 0 b 1 9 w Y W R y Z S w x M n 0 m c X V v d D s s J n F 1 b 3 Q 7 U 2 V j d G l v b j E v Q T I w M T k v V G l w b y B j Y W 1 i a W F k b z E u e 2 5 1 b W V y b 1 9 u a X Z l b C w x M 3 0 m c X V v d D s s J n F 1 b 3 Q 7 U 2 V j d G l v b j E v Q T I w M T k v V m F s b 3 I g c m V l b X B s Y X p h Z G 8 u e 2 5 v b W J y Z V 9 k Z X B h c n R h b W V u d G 9 f a G l q b y w x N H 0 m c X V v d D s s J n F 1 b 3 Q 7 U 2 V j d G l v b j E v Q T I w M T k v V m F s b 3 I g c m V l b X B s Y X p h Z G 8 u e 3 B y b 3 l l Y 3 R v L D E 1 f S Z x d W 9 0 O y w m c X V v d D t T Z W N 0 a W 9 u M S 9 B M j A x O S 9 W Y W x v c i B y Z W V t c G x h e m F k b y 5 7 Z 3 J 1 c G 9 f a m V y Y X J x d W l h L D E 2 f S Z x d W 9 0 O y w m c X V v d D t T Z W N 0 a W 9 u M S 9 B M j A x O S 9 W Y W x v c i B y Z W V t c G x h e m F k b y 5 7 b m 9 t Y n J l X 2 d y d X B v X 2 p l c m F y c X V p Y S w x N 3 0 m c X V v d D s s J n F 1 b 3 Q 7 U 2 V j d G l v b j E v Q T I w M T k v V m F s b 3 I g c m V l b X B s Y X p h Z G 8 u e 3 R p c G 9 f Y 3 V l b n R h L D E 4 f S Z x d W 9 0 O y w m c X V v d D t T Z W N 0 a W 9 u M S 9 B M j A x O S 9 W Y W x v c i B y Z W V t c G x h e m F k b y 5 7 b m 9 t Y n J l X 3 R p c G 9 f Y 3 V l b n R h L D E 5 f S Z x d W 9 0 O y w m c X V v d D t T Z W N 0 a W 9 u M S 9 B M j A x O S 9 W Y W x v c i B y Z W V t c G x h e m F k b y 5 7 d G l w b 1 9 1 b m l k Y W Q s M j B 9 J n F 1 b 3 Q 7 L C Z x d W 9 0 O 1 N l Y 3 R p b 2 4 x L 0 E y M D E 5 L 1 Z h b G 9 y I H J l Z W 1 w b G F 6 Y W R v L n t u b 2 1 i c m V f d G l w b 1 9 1 b m l k Y W Q s M j F 9 J n F 1 b 3 Q 7 L C Z x d W 9 0 O 1 N l Y 3 R p b 2 4 x L 0 E y M D E 5 L 1 Z h b G 9 y I H J l Z W 1 w b G F 6 Y W R v L n t 0 a X B v X 3 B y b 2 d y Y W 1 h L D I y f S Z x d W 9 0 O y w m c X V v d D t T Z W N 0 a W 9 u M S 9 B M j A x O S 9 W Y W x v c i B y Z W V t c G x h e m F k b y 5 7 b m 9 t Y n J l X 3 R p c G 9 f c H J v Z 3 J h b W E s M j N 9 J n F 1 b 3 Q 7 L C Z x d W 9 0 O 1 N l Y 3 R p b 2 4 x L 0 E y M D E 5 L 1 Z h b G 9 y I H J l Z W 1 w b G F 6 Y W R v L n t u b 2 1 i c m V f b W V 0 b 2 R v b G 9 n a W E s M j R 9 J n F 1 b 3 Q 7 L C Z x d W 9 0 O 1 N l Y 3 R p b 2 4 x L 0 E y M D E 5 L 1 Z h b G 9 y I H J l Z W 1 w b G F 6 Y W R v L n t 0 a X B v X 2 R l c G F y d G F t Z W 5 0 b y w y N X 0 m c X V v d D s s J n F 1 b 3 Q 7 U 2 V j d G l v b j E v Q T I w M T k v V m F s b 3 I g c m V l b X B s Y X p h Z G 8 u e 2 h v c m l 6 b 2 5 0 Z S w y N n 0 m c X V v d D t d L C Z x d W 9 0 O 0 N v b H V t b k N v d W 5 0 J n F 1 b 3 Q 7 O j I 3 L C Z x d W 9 0 O 0 t l e U N v b H V t b k 5 h b W V z J n F 1 b 3 Q 7 O l t d L C Z x d W 9 0 O 0 N v b H V t b k l k Z W 5 0 a X R p Z X M m c X V v d D s 6 W y Z x d W 9 0 O 1 N l Y 3 R p b 2 4 x L 0 E y M D E 5 L 1 Z h b G 9 y I H J l Z W 1 w b G F 6 Y W R v L n t h b m 8 s M H 0 m c X V v d D s s J n F 1 b 3 Q 7 U 2 V j d G l v b j E v Q T I w M T k v V m F s b 3 I g c m V l b X B s Y X p h Z G 8 u e 2 1 l c y w x f S Z x d W 9 0 O y w m c X V v d D t T Z W N 0 a W 9 u M S 9 B M j A x O S 9 W Y W x v c i B y Z W V t c G x h e m F k b y 5 7 Y 3 V l b n R h X 3 B w d G 8 s M n 0 m c X V v d D s s J n F 1 b 3 Q 7 U 2 V j d G l v b j E v Q T I w M T k v V m F s b 3 I g c m V l b X B s Y X p h Z G 8 u e 2 5 v b W J y Z V 9 j d W V u d G E s M 3 0 m c X V v d D s s J n F 1 b 3 Q 7 U 2 V j d G l v b j E v Q T I w M T k v V m F s b 3 I g c m V l b X B s Y X p h Z G 8 u e 2 d y d X B v X 2 N 1 Z W 5 0 Y S w 0 f S Z x d W 9 0 O y w m c X V v d D t T Z W N 0 a W 9 u M S 9 B M j A x O S 9 W Y W x v c i B y Z W V t c G x h e m F k b y 5 7 Z 3 J 1 c G 9 f Y W 5 h b G l z a X M s N X 0 m c X V v d D s s J n F 1 b 3 Q 7 U 2 V j d G l v b j E v Q T I w M T k v V G l w b y B j Y W 1 i a W F k b y B j b 2 4 g Y 2 9 u Z m l n d X J h Y 2 n D s 2 4 g c m V n a W 9 u Y W w u e 3 Z h b G 9 y L D Z 9 J n F 1 b 3 Q 7 L C Z x d W 9 0 O 1 N l Y 3 R p b 2 4 x L 0 E y M D E 5 L 1 Z h b G 9 y I H J l Z W 1 w b G F 6 Y W R v L n t p b m Z v c m 1 h Y 2 l v b i w 3 f S Z x d W 9 0 O y w m c X V v d D t T Z W N 0 a W 9 u M S 9 B M j A x O S 9 W Y W x v c i B y Z W V t c G x h e m F k b y 5 7 Z G V w Y X J 0 Y W 1 l b n R v X 3 B h Z H J l L D h 9 J n F 1 b 3 Q 7 L C Z x d W 9 0 O 1 N l Y 3 R p b 2 4 x L 0 E y M D E 5 L 1 Z h b G 9 y I H J l Z W 1 w b G F 6 Y W R v L n t k Z X B h c n R h b W V u d G 9 f a G l q b y w 5 f S Z x d W 9 0 O y w m c X V v d D t T Z W N 0 a W 9 u M S 9 B M j A x O S 9 W Y W x v c i B y Z W V t c G x h e m F k b y 5 7 Z G V w Y X J 0 Y W 1 l b n R v X 2 p l c m F y c X V p Y T E s M T B 9 J n F 1 b 3 Q 7 L C Z x d W 9 0 O 1 N l Y 3 R p b 2 4 x L 0 E y M D E 5 L 1 Z h b G 9 y I H J l Z W 1 w b G F 6 Y W R v L n t k Z X B h c n R h b W V u d G 9 f a m V y Y X J x d W l h M i w x M X 0 m c X V v d D s s J n F 1 b 3 Q 7 U 2 V j d G l v b j E v Q T I w M T k v V m F s b 3 I g c m V l b X B s Y X p h Z G 8 u e 2 5 v b W J y Z V 9 k Z X B h c n R h b W V u d G 9 f c G F k c m U s M T J 9 J n F 1 b 3 Q 7 L C Z x d W 9 0 O 1 N l Y 3 R p b 2 4 x L 0 E y M D E 5 L 1 R p c G 8 g Y 2 F t Y m l h Z G 8 x L n t u d W 1 l c m 9 f b m l 2 Z W w s M T N 9 J n F 1 b 3 Q 7 L C Z x d W 9 0 O 1 N l Y 3 R p b 2 4 x L 0 E y M D E 5 L 1 Z h b G 9 y I H J l Z W 1 w b G F 6 Y W R v L n t u b 2 1 i c m V f Z G V w Y X J 0 Y W 1 l b n R v X 2 h p a m 8 s M T R 9 J n F 1 b 3 Q 7 L C Z x d W 9 0 O 1 N l Y 3 R p b 2 4 x L 0 E y M D E 5 L 1 Z h b G 9 y I H J l Z W 1 w b G F 6 Y W R v L n t w c m 9 5 Z W N 0 b y w x N X 0 m c X V v d D s s J n F 1 b 3 Q 7 U 2 V j d G l v b j E v Q T I w M T k v V m F s b 3 I g c m V l b X B s Y X p h Z G 8 u e 2 d y d X B v X 2 p l c m F y c X V p Y S w x N n 0 m c X V v d D s s J n F 1 b 3 Q 7 U 2 V j d G l v b j E v Q T I w M T k v V m F s b 3 I g c m V l b X B s Y X p h Z G 8 u e 2 5 v b W J y Z V 9 n c n V w b 1 9 q Z X J h c n F 1 a W E s M T d 9 J n F 1 b 3 Q 7 L C Z x d W 9 0 O 1 N l Y 3 R p b 2 4 x L 0 E y M D E 5 L 1 Z h b G 9 y I H J l Z W 1 w b G F 6 Y W R v L n t 0 a X B v X 2 N 1 Z W 5 0 Y S w x O H 0 m c X V v d D s s J n F 1 b 3 Q 7 U 2 V j d G l v b j E v Q T I w M T k v V m F s b 3 I g c m V l b X B s Y X p h Z G 8 u e 2 5 v b W J y Z V 9 0 a X B v X 2 N 1 Z W 5 0 Y S w x O X 0 m c X V v d D s s J n F 1 b 3 Q 7 U 2 V j d G l v b j E v Q T I w M T k v V m F s b 3 I g c m V l b X B s Y X p h Z G 8 u e 3 R p c G 9 f d W 5 p Z G F k L D I w f S Z x d W 9 0 O y w m c X V v d D t T Z W N 0 a W 9 u M S 9 B M j A x O S 9 W Y W x v c i B y Z W V t c G x h e m F k b y 5 7 b m 9 t Y n J l X 3 R p c G 9 f d W 5 p Z G F k L D I x f S Z x d W 9 0 O y w m c X V v d D t T Z W N 0 a W 9 u M S 9 B M j A x O S 9 W Y W x v c i B y Z W V t c G x h e m F k b y 5 7 d G l w b 1 9 w c m 9 n c m F t Y S w y M n 0 m c X V v d D s s J n F 1 b 3 Q 7 U 2 V j d G l v b j E v Q T I w M T k v V m F s b 3 I g c m V l b X B s Y X p h Z G 8 u e 2 5 v b W J y Z V 9 0 a X B v X 3 B y b 2 d y Y W 1 h L D I z f S Z x d W 9 0 O y w m c X V v d D t T Z W N 0 a W 9 u M S 9 B M j A x O S 9 W Y W x v c i B y Z W V t c G x h e m F k b y 5 7 b m 9 t Y n J l X 2 1 l d G 9 k b 2 x v Z 2 l h L D I 0 f S Z x d W 9 0 O y w m c X V v d D t T Z W N 0 a W 9 u M S 9 B M j A x O S 9 W Y W x v c i B y Z W V t c G x h e m F k b y 5 7 d G l w b 1 9 k Z X B h c n R h b W V u d G 8 s M j V 9 J n F 1 b 3 Q 7 L C Z x d W 9 0 O 1 N l Y 3 R p b 2 4 x L 0 E y M D E 5 L 1 Z h b G 9 y I H J l Z W 1 w b G F 6 Y W R v L n t o b 3 J p e m 9 u d G U s M j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M j A x O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M j A x O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M j A x O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M j A x O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T I w M T k v V G l w b y U y M G N h b W J p Y W R v J T I w Y 2 9 u J T I w Y 2 9 u Z m l n d X J h Y 2 k l Q z M l Q j N u J T I w c m V n a W 9 u Y W w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M j A x O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T I w M T k v R m l s Y X M l M j B m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M j A y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h b m 8 m c X V v d D s s J n F 1 b 3 Q 7 b W V z J n F 1 b 3 Q 7 L C Z x d W 9 0 O 2 N 1 Z W 5 0 Y V 9 w c H R v J n F 1 b 3 Q 7 L C Z x d W 9 0 O 2 5 v b W J y Z V 9 j d W V u d G E m c X V v d D s s J n F 1 b 3 Q 7 Z 3 J 1 c G 9 f Y 3 V l b n R h J n F 1 b 3 Q 7 L C Z x d W 9 0 O 2 d y d X B v X 2 F u Y W x p c 2 l z J n F 1 b 3 Q 7 L C Z x d W 9 0 O 3 Z h b G 9 y J n F 1 b 3 Q 7 L C Z x d W 9 0 O 2 l u Z m 9 y b W F j a W 9 u J n F 1 b 3 Q 7 L C Z x d W 9 0 O 2 R l c G F y d G F t Z W 5 0 b 1 9 w Y W R y Z S Z x d W 9 0 O y w m c X V v d D t k Z X B h c n R h b W V u d G 9 f a G l q b y Z x d W 9 0 O y w m c X V v d D t k Z X B h c n R h b W V u d G 9 f a m V y Y X J x d W l h M S Z x d W 9 0 O y w m c X V v d D t k Z X B h c n R h b W V u d G 9 f a m V y Y X J x d W l h M i Z x d W 9 0 O y w m c X V v d D t u b 2 1 i c m V f Z G V w Y X J 0 Y W 1 l b n R v X 3 B h Z H J l J n F 1 b 3 Q 7 L C Z x d W 9 0 O 2 5 1 b W V y b 1 9 u a X Z l b C Z x d W 9 0 O y w m c X V v d D t u b 2 1 i c m V f Z G V w Y X J 0 Y W 1 l b n R v X 2 h p a m 8 m c X V v d D s s J n F 1 b 3 Q 7 c H J v e W V j d G 8 m c X V v d D s s J n F 1 b 3 Q 7 Z 3 J 1 c G 9 f a m V y Y X J x d W l h J n F 1 b 3 Q 7 L C Z x d W 9 0 O 2 5 v b W J y Z V 9 n c n V w b 1 9 q Z X J h c n F 1 a W E m c X V v d D s s J n F 1 b 3 Q 7 d G l w b 1 9 j d W V u d G E m c X V v d D s s J n F 1 b 3 Q 7 b m 9 t Y n J l X 3 R p c G 9 f Y 3 V l b n R h J n F 1 b 3 Q 7 L C Z x d W 9 0 O 3 R p c G 9 f d W 5 p Z G F k J n F 1 b 3 Q 7 L C Z x d W 9 0 O 2 5 v b W J y Z V 9 0 a X B v X 3 V u a W R h Z C Z x d W 9 0 O y w m c X V v d D t 0 a X B v X 3 B y b 2 d y Y W 1 h J n F 1 b 3 Q 7 L C Z x d W 9 0 O 2 5 v b W J y Z V 9 0 a X B v X 3 B y b 2 d y Y W 1 h J n F 1 b 3 Q 7 L C Z x d W 9 0 O 2 5 v b W J y Z V 9 t Z X R v Z G 9 s b 2 d p Y S Z x d W 9 0 O y w m c X V v d D t 0 a X B v X 2 R l c G F y d G F t Z W 5 0 b y Z x d W 9 0 O y w m c X V v d D t o b 3 J p e m 9 u d G U m c X V v d D t d I i A v P j x F b n R y e S B U e X B l P S J G a W x s Q 2 9 s d W 1 u V H l w Z X M i I F Z h b H V l P S J z Q X d N R 0 J n W U d C U V l H Q m d Z R 0 J n T U d C Z 1 l H Q m d Z R 0 J n W U d C Z 1 l H I i A v P j x F b n R y e S B U e X B l P S J G a W x s T G F z d F V w Z G F 0 Z W Q i I F Z h b H V l P S J k M j A y M S 0 w M i 0 x M l Q x N z o w N z o 0 O S 4 3 N z k w O D I 3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z U z O T Y i I C 8 + P E V u d H J 5 I F R 5 c G U 9 I k F k Z G V k V G 9 E Y X R h T W 9 k Z W w i I F Z h b H V l P S J s M S I g L z 4 8 R W 5 0 c n k g V H l w Z T 0 i U X V l c n l J R C I g V m F s d W U 9 I n N k O T F m N W Y y N S 0 w Y 2 N m L T Q 4 O W E t Y m Y y M C 0 y M D U x N G I 4 M j c 1 N W Y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M j A y M C 9 W Y W x v c i B y Z W V t c G x h e m F k b y 5 7 Y W 5 v L D B 9 J n F 1 b 3 Q 7 L C Z x d W 9 0 O 1 N l Y 3 R p b 2 4 x L 0 E y M D I w L 1 Z h b G 9 y I H J l Z W 1 w b G F 6 Y W R v L n t t Z X M s M X 0 m c X V v d D s s J n F 1 b 3 Q 7 U 2 V j d G l v b j E v Q T I w M j A v V m F s b 3 I g c m V l b X B s Y X p h Z G 8 u e 2 N 1 Z W 5 0 Y V 9 w c H R v L D J 9 J n F 1 b 3 Q 7 L C Z x d W 9 0 O 1 N l Y 3 R p b 2 4 x L 0 E y M D I w L 1 Z h b G 9 y I H J l Z W 1 w b G F 6 Y W R v L n t u b 2 1 i c m V f Y 3 V l b n R h L D N 9 J n F 1 b 3 Q 7 L C Z x d W 9 0 O 1 N l Y 3 R p b 2 4 x L 0 E y M D I w L 1 Z h b G 9 y I H J l Z W 1 w b G F 6 Y W R v L n t n c n V w b 1 9 j d W V u d G E s N H 0 m c X V v d D s s J n F 1 b 3 Q 7 U 2 V j d G l v b j E v Q T I w M j A v V m F s b 3 I g c m V l b X B s Y X p h Z G 8 u e 2 d y d X B v X 2 F u Y W x p c 2 l z L D V 9 J n F 1 b 3 Q 7 L C Z x d W 9 0 O 1 N l Y 3 R p b 2 4 x L 0 E y M D I w L 1 R p c G 8 g Y 2 F t Y m l h Z G 8 g Y 2 9 u I G N v b m Z p Z 3 V y Y W N p w 7 N u I H J l Z 2 l v b m F s L n t 2 Y W x v c i w 2 f S Z x d W 9 0 O y w m c X V v d D t T Z W N 0 a W 9 u M S 9 B M j A y M C 9 W Y W x v c i B y Z W V t c G x h e m F k b y 5 7 a W 5 m b 3 J t Y W N p b 2 4 s N 3 0 m c X V v d D s s J n F 1 b 3 Q 7 U 2 V j d G l v b j E v Q T I w M j A v V m F s b 3 I g c m V l b X B s Y X p h Z G 8 u e 2 R l c G F y d G F t Z W 5 0 b 1 9 w Y W R y Z S w 4 f S Z x d W 9 0 O y w m c X V v d D t T Z W N 0 a W 9 u M S 9 B M j A y M C 9 W Y W x v c i B y Z W V t c G x h e m F k b y 5 7 Z G V w Y X J 0 Y W 1 l b n R v X 2 h p a m 8 s O X 0 m c X V v d D s s J n F 1 b 3 Q 7 U 2 V j d G l v b j E v Q T I w M j A v V m F s b 3 I g c m V l b X B s Y X p h Z G 8 u e 2 R l c G F y d G F t Z W 5 0 b 1 9 q Z X J h c n F 1 a W E x L D E w f S Z x d W 9 0 O y w m c X V v d D t T Z W N 0 a W 9 u M S 9 B M j A y M C 9 W Y W x v c i B y Z W V t c G x h e m F k b y 5 7 Z G V w Y X J 0 Y W 1 l b n R v X 2 p l c m F y c X V p Y T I s M T F 9 J n F 1 b 3 Q 7 L C Z x d W 9 0 O 1 N l Y 3 R p b 2 4 x L 0 E y M D I w L 1 Z h b G 9 y I H J l Z W 1 w b G F 6 Y W R v L n t u b 2 1 i c m V f Z G V w Y X J 0 Y W 1 l b n R v X 3 B h Z H J l L D E y f S Z x d W 9 0 O y w m c X V v d D t T Z W N 0 a W 9 u M S 9 B M j A y M C 9 U a X B v I G N h b W J p Y W R v M S 5 7 b n V t Z X J v X 2 5 p d m V s L D E z f S Z x d W 9 0 O y w m c X V v d D t T Z W N 0 a W 9 u M S 9 B M j A y M C 9 W Y W x v c i B y Z W V t c G x h e m F k b y 5 7 b m 9 t Y n J l X 2 R l c G F y d G F t Z W 5 0 b 1 9 o a W p v L D E 0 f S Z x d W 9 0 O y w m c X V v d D t T Z W N 0 a W 9 u M S 9 B M j A y M C 9 W Y W x v c i B y Z W V t c G x h e m F k b y 5 7 c H J v e W V j d G 8 s M T V 9 J n F 1 b 3 Q 7 L C Z x d W 9 0 O 1 N l Y 3 R p b 2 4 x L 0 E y M D I w L 1 Z h b G 9 y I H J l Z W 1 w b G F 6 Y W R v L n t n c n V w b 1 9 q Z X J h c n F 1 a W E s M T Z 9 J n F 1 b 3 Q 7 L C Z x d W 9 0 O 1 N l Y 3 R p b 2 4 x L 0 E y M D I w L 1 Z h b G 9 y I H J l Z W 1 w b G F 6 Y W R v L n t u b 2 1 i c m V f Z 3 J 1 c G 9 f a m V y Y X J x d W l h L D E 3 f S Z x d W 9 0 O y w m c X V v d D t T Z W N 0 a W 9 u M S 9 B M j A y M C 9 W Y W x v c i B y Z W V t c G x h e m F k b y 5 7 d G l w b 1 9 j d W V u d G E s M T h 9 J n F 1 b 3 Q 7 L C Z x d W 9 0 O 1 N l Y 3 R p b 2 4 x L 0 E y M D I w L 1 Z h b G 9 y I H J l Z W 1 w b G F 6 Y W R v L n t u b 2 1 i c m V f d G l w b 1 9 j d W V u d G E s M T l 9 J n F 1 b 3 Q 7 L C Z x d W 9 0 O 1 N l Y 3 R p b 2 4 x L 0 E y M D I w L 1 Z h b G 9 y I H J l Z W 1 w b G F 6 Y W R v L n t 0 a X B v X 3 V u a W R h Z C w y M H 0 m c X V v d D s s J n F 1 b 3 Q 7 U 2 V j d G l v b j E v Q T I w M j A v V m F s b 3 I g c m V l b X B s Y X p h Z G 8 u e 2 5 v b W J y Z V 9 0 a X B v X 3 V u a W R h Z C w y M X 0 m c X V v d D s s J n F 1 b 3 Q 7 U 2 V j d G l v b j E v Q T I w M j A v V m F s b 3 I g c m V l b X B s Y X p h Z G 8 u e 3 R p c G 9 f c H J v Z 3 J h b W E s M j J 9 J n F 1 b 3 Q 7 L C Z x d W 9 0 O 1 N l Y 3 R p b 2 4 x L 0 E y M D I w L 1 Z h b G 9 y I H J l Z W 1 w b G F 6 Y W R v L n t u b 2 1 i c m V f d G l w b 1 9 w c m 9 n c m F t Y S w y M 3 0 m c X V v d D s s J n F 1 b 3 Q 7 U 2 V j d G l v b j E v Q T I w M j A v V m F s b 3 I g c m V l b X B s Y X p h Z G 8 u e 2 5 v b W J y Z V 9 t Z X R v Z G 9 s b 2 d p Y S w y N H 0 m c X V v d D s s J n F 1 b 3 Q 7 U 2 V j d G l v b j E v Q T I w M j A v V m F s b 3 I g c m V l b X B s Y X p h Z G 8 u e 3 R p c G 9 f Z G V w Y X J 0 Y W 1 l b n R v L D I 1 f S Z x d W 9 0 O y w m c X V v d D t T Z W N 0 a W 9 u M S 9 B M j A y M C 9 W Y W x v c i B y Z W V t c G x h e m F k b y 5 7 a G 9 y a X p v b n R l L D I 2 f S Z x d W 9 0 O 1 0 s J n F 1 b 3 Q 7 Q 2 9 s d W 1 u Q 2 9 1 b n Q m c X V v d D s 6 M j c s J n F 1 b 3 Q 7 S 2 V 5 Q 2 9 s d W 1 u T m F t Z X M m c X V v d D s 6 W 1 0 s J n F 1 b 3 Q 7 Q 2 9 s d W 1 u S W R l b n R p d G l l c y Z x d W 9 0 O z p b J n F 1 b 3 Q 7 U 2 V j d G l v b j E v Q T I w M j A v V m F s b 3 I g c m V l b X B s Y X p h Z G 8 u e 2 F u b y w w f S Z x d W 9 0 O y w m c X V v d D t T Z W N 0 a W 9 u M S 9 B M j A y M C 9 W Y W x v c i B y Z W V t c G x h e m F k b y 5 7 b W V z L D F 9 J n F 1 b 3 Q 7 L C Z x d W 9 0 O 1 N l Y 3 R p b 2 4 x L 0 E y M D I w L 1 Z h b G 9 y I H J l Z W 1 w b G F 6 Y W R v L n t j d W V u d G F f c H B 0 b y w y f S Z x d W 9 0 O y w m c X V v d D t T Z W N 0 a W 9 u M S 9 B M j A y M C 9 W Y W x v c i B y Z W V t c G x h e m F k b y 5 7 b m 9 t Y n J l X 2 N 1 Z W 5 0 Y S w z f S Z x d W 9 0 O y w m c X V v d D t T Z W N 0 a W 9 u M S 9 B M j A y M C 9 W Y W x v c i B y Z W V t c G x h e m F k b y 5 7 Z 3 J 1 c G 9 f Y 3 V l b n R h L D R 9 J n F 1 b 3 Q 7 L C Z x d W 9 0 O 1 N l Y 3 R p b 2 4 x L 0 E y M D I w L 1 Z h b G 9 y I H J l Z W 1 w b G F 6 Y W R v L n t n c n V w b 1 9 h b m F s a X N p c y w 1 f S Z x d W 9 0 O y w m c X V v d D t T Z W N 0 a W 9 u M S 9 B M j A y M C 9 U a X B v I G N h b W J p Y W R v I G N v b i B j b 2 5 m a W d 1 c m F j a c O z b i B y Z W d p b 2 5 h b C 5 7 d m F s b 3 I s N n 0 m c X V v d D s s J n F 1 b 3 Q 7 U 2 V j d G l v b j E v Q T I w M j A v V m F s b 3 I g c m V l b X B s Y X p h Z G 8 u e 2 l u Z m 9 y b W F j a W 9 u L D d 9 J n F 1 b 3 Q 7 L C Z x d W 9 0 O 1 N l Y 3 R p b 2 4 x L 0 E y M D I w L 1 Z h b G 9 y I H J l Z W 1 w b G F 6 Y W R v L n t k Z X B h c n R h b W V u d G 9 f c G F k c m U s O H 0 m c X V v d D s s J n F 1 b 3 Q 7 U 2 V j d G l v b j E v Q T I w M j A v V m F s b 3 I g c m V l b X B s Y X p h Z G 8 u e 2 R l c G F y d G F t Z W 5 0 b 1 9 o a W p v L D l 9 J n F 1 b 3 Q 7 L C Z x d W 9 0 O 1 N l Y 3 R p b 2 4 x L 0 E y M D I w L 1 Z h b G 9 y I H J l Z W 1 w b G F 6 Y W R v L n t k Z X B h c n R h b W V u d G 9 f a m V y Y X J x d W l h M S w x M H 0 m c X V v d D s s J n F 1 b 3 Q 7 U 2 V j d G l v b j E v Q T I w M j A v V m F s b 3 I g c m V l b X B s Y X p h Z G 8 u e 2 R l c G F y d G F t Z W 5 0 b 1 9 q Z X J h c n F 1 a W E y L D E x f S Z x d W 9 0 O y w m c X V v d D t T Z W N 0 a W 9 u M S 9 B M j A y M C 9 W Y W x v c i B y Z W V t c G x h e m F k b y 5 7 b m 9 t Y n J l X 2 R l c G F y d G F t Z W 5 0 b 1 9 w Y W R y Z S w x M n 0 m c X V v d D s s J n F 1 b 3 Q 7 U 2 V j d G l v b j E v Q T I w M j A v V G l w b y B j Y W 1 i a W F k b z E u e 2 5 1 b W V y b 1 9 u a X Z l b C w x M 3 0 m c X V v d D s s J n F 1 b 3 Q 7 U 2 V j d G l v b j E v Q T I w M j A v V m F s b 3 I g c m V l b X B s Y X p h Z G 8 u e 2 5 v b W J y Z V 9 k Z X B h c n R h b W V u d G 9 f a G l q b y w x N H 0 m c X V v d D s s J n F 1 b 3 Q 7 U 2 V j d G l v b j E v Q T I w M j A v V m F s b 3 I g c m V l b X B s Y X p h Z G 8 u e 3 B y b 3 l l Y 3 R v L D E 1 f S Z x d W 9 0 O y w m c X V v d D t T Z W N 0 a W 9 u M S 9 B M j A y M C 9 W Y W x v c i B y Z W V t c G x h e m F k b y 5 7 Z 3 J 1 c G 9 f a m V y Y X J x d W l h L D E 2 f S Z x d W 9 0 O y w m c X V v d D t T Z W N 0 a W 9 u M S 9 B M j A y M C 9 W Y W x v c i B y Z W V t c G x h e m F k b y 5 7 b m 9 t Y n J l X 2 d y d X B v X 2 p l c m F y c X V p Y S w x N 3 0 m c X V v d D s s J n F 1 b 3 Q 7 U 2 V j d G l v b j E v Q T I w M j A v V m F s b 3 I g c m V l b X B s Y X p h Z G 8 u e 3 R p c G 9 f Y 3 V l b n R h L D E 4 f S Z x d W 9 0 O y w m c X V v d D t T Z W N 0 a W 9 u M S 9 B M j A y M C 9 W Y W x v c i B y Z W V t c G x h e m F k b y 5 7 b m 9 t Y n J l X 3 R p c G 9 f Y 3 V l b n R h L D E 5 f S Z x d W 9 0 O y w m c X V v d D t T Z W N 0 a W 9 u M S 9 B M j A y M C 9 W Y W x v c i B y Z W V t c G x h e m F k b y 5 7 d G l w b 1 9 1 b m l k Y W Q s M j B 9 J n F 1 b 3 Q 7 L C Z x d W 9 0 O 1 N l Y 3 R p b 2 4 x L 0 E y M D I w L 1 Z h b G 9 y I H J l Z W 1 w b G F 6 Y W R v L n t u b 2 1 i c m V f d G l w b 1 9 1 b m l k Y W Q s M j F 9 J n F 1 b 3 Q 7 L C Z x d W 9 0 O 1 N l Y 3 R p b 2 4 x L 0 E y M D I w L 1 Z h b G 9 y I H J l Z W 1 w b G F 6 Y W R v L n t 0 a X B v X 3 B y b 2 d y Y W 1 h L D I y f S Z x d W 9 0 O y w m c X V v d D t T Z W N 0 a W 9 u M S 9 B M j A y M C 9 W Y W x v c i B y Z W V t c G x h e m F k b y 5 7 b m 9 t Y n J l X 3 R p c G 9 f c H J v Z 3 J h b W E s M j N 9 J n F 1 b 3 Q 7 L C Z x d W 9 0 O 1 N l Y 3 R p b 2 4 x L 0 E y M D I w L 1 Z h b G 9 y I H J l Z W 1 w b G F 6 Y W R v L n t u b 2 1 i c m V f b W V 0 b 2 R v b G 9 n a W E s M j R 9 J n F 1 b 3 Q 7 L C Z x d W 9 0 O 1 N l Y 3 R p b 2 4 x L 0 E y M D I w L 1 Z h b G 9 y I H J l Z W 1 w b G F 6 Y W R v L n t 0 a X B v X 2 R l c G F y d G F t Z W 5 0 b y w y N X 0 m c X V v d D s s J n F 1 b 3 Q 7 U 2 V j d G l v b j E v Q T I w M j A v V m F s b 3 I g c m V l b X B s Y X p h Z G 8 u e 2 h v c m l 6 b 2 5 0 Z S w y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E y M D I w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E y M D I w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E y M D I w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E y M D I w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M j A y M C 9 U a X B v J T I w Y 2 F t Y m l h Z G 8 l M j B j b 2 4 l M j B j b 2 5 m a W d 1 c m F j a S V D M y V C M 2 4 l M j B y Z W d p b 2 5 h b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E y M D I w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M j A y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C I g L z 4 8 R W 5 0 c n k g V H l w Z T 0 i R m l s b E x h c 3 R V c G R h d G V k I i B W Y W x 1 Z T 0 i Z D I w M j E t M D c t M D Z U M T k 6 M D U 6 N D g u M D U z O T E x N 1 o i I C 8 + P E V u d H J 5 I F R 5 c G U 9 I k Z p b G x D b 2 x 1 b W 5 U e X B l c y I g V m F s d W U 9 I n N B d 0 1 H Q m d Z R 0 J R W U d C Z 1 l H Q m d N R 0 J n W U d C Z 1 l H Q m d Z R 0 J n W U c i I C 8 + P E V u d H J 5 I F R 5 c G U 9 I l F 1 Z X J 5 S U Q i I F Z h b H V l P S J z Y T d h Z m Y y N T g t Y W Q w Z C 0 0 Y T E z L W E x N W M t O G E 5 Z D M 1 Z T I 1 M j U 1 I i A v P j x F b n R y e S B U e X B l P S J G a W x s Q 2 9 s d W 1 u T m F t Z X M i I F Z h b H V l P S J z W y Z x d W 9 0 O 2 F u b y Z x d W 9 0 O y w m c X V v d D t t Z X M m c X V v d D s s J n F 1 b 3 Q 7 Y 3 V l b n R h X 3 B w d G 8 m c X V v d D s s J n F 1 b 3 Q 7 b m 9 t Y n J l X 2 N 1 Z W 5 0 Y S Z x d W 9 0 O y w m c X V v d D t n c n V w b 1 9 j d W V u d G E m c X V v d D s s J n F 1 b 3 Q 7 Z 3 J 1 c G 9 f Y W 5 h b G l z a X M m c X V v d D s s J n F 1 b 3 Q 7 d m F s b 3 I m c X V v d D s s J n F 1 b 3 Q 7 a W 5 m b 3 J t Y W N p b 2 4 m c X V v d D s s J n F 1 b 3 Q 7 Z G V w Y X J 0 Y W 1 l b n R v X 3 B h Z H J l J n F 1 b 3 Q 7 L C Z x d W 9 0 O 2 R l c G F y d G F t Z W 5 0 b 1 9 o a W p v J n F 1 b 3 Q 7 L C Z x d W 9 0 O 2 R l c G F y d G F t Z W 5 0 b 1 9 q Z X J h c n F 1 a W E x J n F 1 b 3 Q 7 L C Z x d W 9 0 O 2 R l c G F y d G F t Z W 5 0 b 1 9 q Z X J h c n F 1 a W E y J n F 1 b 3 Q 7 L C Z x d W 9 0 O 2 5 v b W J y Z V 9 k Z X B h c n R h b W V u d G 9 f c G F k c m U m c X V v d D s s J n F 1 b 3 Q 7 b n V t Z X J v X 2 5 p d m V s J n F 1 b 3 Q 7 L C Z x d W 9 0 O 2 5 v b W J y Z V 9 k Z X B h c n R h b W V u d G 9 f a G l q b y Z x d W 9 0 O y w m c X V v d D t w c m 9 5 Z W N 0 b y Z x d W 9 0 O y w m c X V v d D t n c n V w b 1 9 q Z X J h c n F 1 a W E m c X V v d D s s J n F 1 b 3 Q 7 b m 9 t Y n J l X 2 d y d X B v X 2 p l c m F y c X V p Y S Z x d W 9 0 O y w m c X V v d D t 0 a X B v X 2 N 1 Z W 5 0 Y S Z x d W 9 0 O y w m c X V v d D t u b 2 1 i c m V f d G l w b 1 9 j d W V u d G E m c X V v d D s s J n F 1 b 3 Q 7 d G l w b 1 9 1 b m l k Y W Q m c X V v d D s s J n F 1 b 3 Q 7 b m 9 t Y n J l X 3 R p c G 9 f d W 5 p Z G F k J n F 1 b 3 Q 7 L C Z x d W 9 0 O 3 R p c G 9 f c H J v Z 3 J h b W E m c X V v d D s s J n F 1 b 3 Q 7 b m 9 t Y n J l X 3 R p c G 9 f c H J v Z 3 J h b W E m c X V v d D s s J n F 1 b 3 Q 7 b m 9 t Y n J l X 2 1 l d G 9 k b 2 x v Z 2 l h J n F 1 b 3 Q 7 L C Z x d W 9 0 O 3 R p c G 9 f Z G V w Y X J 0 Y W 1 l b n R v J n F 1 b 3 Q 7 L C Z x d W 9 0 O 2 h v c m l 6 b 2 5 0 Z S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E y M D I x L 1 R p c G 8 g Y 2 F t Y m l h Z G 8 u e 2 F u b y w w f S Z x d W 9 0 O y w m c X V v d D t T Z W N 0 a W 9 u M S 9 B M j A y M S 9 U a X B v I G N h b W J p Y W R v L n t t Z X M s M X 0 m c X V v d D s s J n F 1 b 3 Q 7 U 2 V j d G l v b j E v Q T I w M j E v R W 5 j Y W J l e m F k b 3 M g c H J v b W 9 2 a W R v c y 5 7 Y 3 V l b n R h X 3 B w d G 8 s M n 0 m c X V v d D s s J n F 1 b 3 Q 7 U 2 V j d G l v b j E v Q T I w M j E v R W 5 j Y W J l e m F k b 3 M g c H J v b W 9 2 a W R v c y 5 7 b m 9 t Y n J l X 2 N 1 Z W 5 0 Y S w z f S Z x d W 9 0 O y w m c X V v d D t T Z W N 0 a W 9 u M S 9 B M j A y M S 9 F b m N h Y m V 6 Y W R v c y B w c m 9 t b 3 Z p Z G 9 z L n t n c n V w b 1 9 j d W V u d G E s N H 0 m c X V v d D s s J n F 1 b 3 Q 7 U 2 V j d G l v b j E v Q T I w M j E v R W 5 j Y W J l e m F k b 3 M g c H J v b W 9 2 a W R v c y 5 7 Z 3 J 1 c G 9 f Y W 5 h b G l z a X M s N X 0 m c X V v d D s s J n F 1 b 3 Q 7 U 2 V j d G l v b j E v Q T I w M j E v V G l w b y B j Y W 1 i a W F k b y B j b 2 4 g Y 2 9 u Z m l n d X J h Y 2 n D s 2 4 g c m V n a W 9 u Y W w u e 3 Z h b G 9 y L D Z 9 J n F 1 b 3 Q 7 L C Z x d W 9 0 O 1 N l Y 3 R p b 2 4 x L 0 E y M D I x L 0 V u Y 2 F i Z X p h Z G 9 z I H B y b 2 1 v d m l k b 3 M u e 2 l u Z m 9 y b W F j a W 9 u L D d 9 J n F 1 b 3 Q 7 L C Z x d W 9 0 O 1 N l Y 3 R p b 2 4 x L 0 E y M D I x L 0 V u Y 2 F i Z X p h Z G 9 z I H B y b 2 1 v d m l k b 3 M u e 2 R l c G F y d G F t Z W 5 0 b 1 9 w Y W R y Z S w 4 f S Z x d W 9 0 O y w m c X V v d D t T Z W N 0 a W 9 u M S 9 B M j A y M S 9 F b m N h Y m V 6 Y W R v c y B w c m 9 t b 3 Z p Z G 9 z L n t k Z X B h c n R h b W V u d G 9 f a G l q b y w 5 f S Z x d W 9 0 O y w m c X V v d D t T Z W N 0 a W 9 u M S 9 B M j A y M S 9 F b m N h Y m V 6 Y W R v c y B w c m 9 t b 3 Z p Z G 9 z L n t k Z X B h c n R h b W V u d G 9 f a m V y Y X J x d W l h M S w x M H 0 m c X V v d D s s J n F 1 b 3 Q 7 U 2 V j d G l v b j E v Q T I w M j E v R W 5 j Y W J l e m F k b 3 M g c H J v b W 9 2 a W R v c y 5 7 Z G V w Y X J 0 Y W 1 l b n R v X 2 p l c m F y c X V p Y T I s M T F 9 J n F 1 b 3 Q 7 L C Z x d W 9 0 O 1 N l Y 3 R p b 2 4 x L 0 E y M D I x L 0 V u Y 2 F i Z X p h Z G 9 z I H B y b 2 1 v d m l k b 3 M u e 2 5 v b W J y Z V 9 k Z X B h c n R h b W V u d G 9 f c G F k c m U s M T J 9 J n F 1 b 3 Q 7 L C Z x d W 9 0 O 1 N l Y 3 R p b 2 4 x L 0 E y M D I x L 1 R p c G 8 g Y 2 F t Y m l h Z G 8 x L n t u d W 1 l c m 9 f b m l 2 Z W w s M T N 9 J n F 1 b 3 Q 7 L C Z x d W 9 0 O 1 N l Y 3 R p b 2 4 x L 0 E y M D I x L 0 V u Y 2 F i Z X p h Z G 9 z I H B y b 2 1 v d m l k b 3 M u e 2 5 v b W J y Z V 9 k Z X B h c n R h b W V u d G 9 f a G l q b y w x N H 0 m c X V v d D s s J n F 1 b 3 Q 7 U 2 V j d G l v b j E v Q T I w M j E v R W 5 j Y W J l e m F k b 3 M g c H J v b W 9 2 a W R v c y 5 7 c H J v e W V j d G 8 s M T V 9 J n F 1 b 3 Q 7 L C Z x d W 9 0 O 1 N l Y 3 R p b 2 4 x L 0 E y M D I x L 0 V u Y 2 F i Z X p h Z G 9 z I H B y b 2 1 v d m l k b 3 M u e 2 d y d X B v X 2 p l c m F y c X V p Y S w x N n 0 m c X V v d D s s J n F 1 b 3 Q 7 U 2 V j d G l v b j E v Q T I w M j E v R W 5 j Y W J l e m F k b 3 M g c H J v b W 9 2 a W R v c y 5 7 b m 9 t Y n J l X 2 d y d X B v X 2 p l c m F y c X V p Y S w x N 3 0 m c X V v d D s s J n F 1 b 3 Q 7 U 2 V j d G l v b j E v Q T I w M j E v R W 5 j Y W J l e m F k b 3 M g c H J v b W 9 2 a W R v c y 5 7 d G l w b 1 9 j d W V u d G E s M T h 9 J n F 1 b 3 Q 7 L C Z x d W 9 0 O 1 N l Y 3 R p b 2 4 x L 0 E y M D I x L 0 V u Y 2 F i Z X p h Z G 9 z I H B y b 2 1 v d m l k b 3 M u e 2 5 v b W J y Z V 9 0 a X B v X 2 N 1 Z W 5 0 Y S w x O X 0 m c X V v d D s s J n F 1 b 3 Q 7 U 2 V j d G l v b j E v Q T I w M j E v R W 5 j Y W J l e m F k b 3 M g c H J v b W 9 2 a W R v c y 5 7 d G l w b 1 9 1 b m l k Y W Q s M j B 9 J n F 1 b 3 Q 7 L C Z x d W 9 0 O 1 N l Y 3 R p b 2 4 x L 0 E y M D I x L 0 V u Y 2 F i Z X p h Z G 9 z I H B y b 2 1 v d m l k b 3 M u e 2 5 v b W J y Z V 9 0 a X B v X 3 V u a W R h Z C w y M X 0 m c X V v d D s s J n F 1 b 3 Q 7 U 2 V j d G l v b j E v Q T I w M j E v R W 5 j Y W J l e m F k b 3 M g c H J v b W 9 2 a W R v c y 5 7 d G l w b 1 9 w c m 9 n c m F t Y S w y M n 0 m c X V v d D s s J n F 1 b 3 Q 7 U 2 V j d G l v b j E v Q T I w M j E v R W 5 j Y W J l e m F k b 3 M g c H J v b W 9 2 a W R v c y 5 7 b m 9 t Y n J l X 3 R p c G 9 f c H J v Z 3 J h b W E s M j N 9 J n F 1 b 3 Q 7 L C Z x d W 9 0 O 1 N l Y 3 R p b 2 4 x L 0 E y M D I x L 0 V u Y 2 F i Z X p h Z G 9 z I H B y b 2 1 v d m l k b 3 M u e 2 5 v b W J y Z V 9 t Z X R v Z G 9 s b 2 d p Y S w y N H 0 m c X V v d D s s J n F 1 b 3 Q 7 U 2 V j d G l v b j E v Q T I w M j E v R W 5 j Y W J l e m F k b 3 M g c H J v b W 9 2 a W R v c y 5 7 d G l w b 1 9 k Z X B h c n R h b W V u d G 8 s M j V 9 J n F 1 b 3 Q 7 L C Z x d W 9 0 O 1 N l Y 3 R p b 2 4 x L 0 E y M D I x L 0 V u Y 2 F i Z X p h Z G 9 z I H B y b 2 1 v d m l k b 3 M u e 2 h v c m l 6 b 2 5 0 Z S w y N n 0 m c X V v d D t d L C Z x d W 9 0 O 0 N v b H V t b k N v d W 5 0 J n F 1 b 3 Q 7 O j I 3 L C Z x d W 9 0 O 0 t l e U N v b H V t b k 5 h b W V z J n F 1 b 3 Q 7 O l t d L C Z x d W 9 0 O 0 N v b H V t b k l k Z W 5 0 a X R p Z X M m c X V v d D s 6 W y Z x d W 9 0 O 1 N l Y 3 R p b 2 4 x L 0 E y M D I x L 1 R p c G 8 g Y 2 F t Y m l h Z G 8 u e 2 F u b y w w f S Z x d W 9 0 O y w m c X V v d D t T Z W N 0 a W 9 u M S 9 B M j A y M S 9 U a X B v I G N h b W J p Y W R v L n t t Z X M s M X 0 m c X V v d D s s J n F 1 b 3 Q 7 U 2 V j d G l v b j E v Q T I w M j E v R W 5 j Y W J l e m F k b 3 M g c H J v b W 9 2 a W R v c y 5 7 Y 3 V l b n R h X 3 B w d G 8 s M n 0 m c X V v d D s s J n F 1 b 3 Q 7 U 2 V j d G l v b j E v Q T I w M j E v R W 5 j Y W J l e m F k b 3 M g c H J v b W 9 2 a W R v c y 5 7 b m 9 t Y n J l X 2 N 1 Z W 5 0 Y S w z f S Z x d W 9 0 O y w m c X V v d D t T Z W N 0 a W 9 u M S 9 B M j A y M S 9 F b m N h Y m V 6 Y W R v c y B w c m 9 t b 3 Z p Z G 9 z L n t n c n V w b 1 9 j d W V u d G E s N H 0 m c X V v d D s s J n F 1 b 3 Q 7 U 2 V j d G l v b j E v Q T I w M j E v R W 5 j Y W J l e m F k b 3 M g c H J v b W 9 2 a W R v c y 5 7 Z 3 J 1 c G 9 f Y W 5 h b G l z a X M s N X 0 m c X V v d D s s J n F 1 b 3 Q 7 U 2 V j d G l v b j E v Q T I w M j E v V G l w b y B j Y W 1 i a W F k b y B j b 2 4 g Y 2 9 u Z m l n d X J h Y 2 n D s 2 4 g c m V n a W 9 u Y W w u e 3 Z h b G 9 y L D Z 9 J n F 1 b 3 Q 7 L C Z x d W 9 0 O 1 N l Y 3 R p b 2 4 x L 0 E y M D I x L 0 V u Y 2 F i Z X p h Z G 9 z I H B y b 2 1 v d m l k b 3 M u e 2 l u Z m 9 y b W F j a W 9 u L D d 9 J n F 1 b 3 Q 7 L C Z x d W 9 0 O 1 N l Y 3 R p b 2 4 x L 0 E y M D I x L 0 V u Y 2 F i Z X p h Z G 9 z I H B y b 2 1 v d m l k b 3 M u e 2 R l c G F y d G F t Z W 5 0 b 1 9 w Y W R y Z S w 4 f S Z x d W 9 0 O y w m c X V v d D t T Z W N 0 a W 9 u M S 9 B M j A y M S 9 F b m N h Y m V 6 Y W R v c y B w c m 9 t b 3 Z p Z G 9 z L n t k Z X B h c n R h b W V u d G 9 f a G l q b y w 5 f S Z x d W 9 0 O y w m c X V v d D t T Z W N 0 a W 9 u M S 9 B M j A y M S 9 F b m N h Y m V 6 Y W R v c y B w c m 9 t b 3 Z p Z G 9 z L n t k Z X B h c n R h b W V u d G 9 f a m V y Y X J x d W l h M S w x M H 0 m c X V v d D s s J n F 1 b 3 Q 7 U 2 V j d G l v b j E v Q T I w M j E v R W 5 j Y W J l e m F k b 3 M g c H J v b W 9 2 a W R v c y 5 7 Z G V w Y X J 0 Y W 1 l b n R v X 2 p l c m F y c X V p Y T I s M T F 9 J n F 1 b 3 Q 7 L C Z x d W 9 0 O 1 N l Y 3 R p b 2 4 x L 0 E y M D I x L 0 V u Y 2 F i Z X p h Z G 9 z I H B y b 2 1 v d m l k b 3 M u e 2 5 v b W J y Z V 9 k Z X B h c n R h b W V u d G 9 f c G F k c m U s M T J 9 J n F 1 b 3 Q 7 L C Z x d W 9 0 O 1 N l Y 3 R p b 2 4 x L 0 E y M D I x L 1 R p c G 8 g Y 2 F t Y m l h Z G 8 x L n t u d W 1 l c m 9 f b m l 2 Z W w s M T N 9 J n F 1 b 3 Q 7 L C Z x d W 9 0 O 1 N l Y 3 R p b 2 4 x L 0 E y M D I x L 0 V u Y 2 F i Z X p h Z G 9 z I H B y b 2 1 v d m l k b 3 M u e 2 5 v b W J y Z V 9 k Z X B h c n R h b W V u d G 9 f a G l q b y w x N H 0 m c X V v d D s s J n F 1 b 3 Q 7 U 2 V j d G l v b j E v Q T I w M j E v R W 5 j Y W J l e m F k b 3 M g c H J v b W 9 2 a W R v c y 5 7 c H J v e W V j d G 8 s M T V 9 J n F 1 b 3 Q 7 L C Z x d W 9 0 O 1 N l Y 3 R p b 2 4 x L 0 E y M D I x L 0 V u Y 2 F i Z X p h Z G 9 z I H B y b 2 1 v d m l k b 3 M u e 2 d y d X B v X 2 p l c m F y c X V p Y S w x N n 0 m c X V v d D s s J n F 1 b 3 Q 7 U 2 V j d G l v b j E v Q T I w M j E v R W 5 j Y W J l e m F k b 3 M g c H J v b W 9 2 a W R v c y 5 7 b m 9 t Y n J l X 2 d y d X B v X 2 p l c m F y c X V p Y S w x N 3 0 m c X V v d D s s J n F 1 b 3 Q 7 U 2 V j d G l v b j E v Q T I w M j E v R W 5 j Y W J l e m F k b 3 M g c H J v b W 9 2 a W R v c y 5 7 d G l w b 1 9 j d W V u d G E s M T h 9 J n F 1 b 3 Q 7 L C Z x d W 9 0 O 1 N l Y 3 R p b 2 4 x L 0 E y M D I x L 0 V u Y 2 F i Z X p h Z G 9 z I H B y b 2 1 v d m l k b 3 M u e 2 5 v b W J y Z V 9 0 a X B v X 2 N 1 Z W 5 0 Y S w x O X 0 m c X V v d D s s J n F 1 b 3 Q 7 U 2 V j d G l v b j E v Q T I w M j E v R W 5 j Y W J l e m F k b 3 M g c H J v b W 9 2 a W R v c y 5 7 d G l w b 1 9 1 b m l k Y W Q s M j B 9 J n F 1 b 3 Q 7 L C Z x d W 9 0 O 1 N l Y 3 R p b 2 4 x L 0 E y M D I x L 0 V u Y 2 F i Z X p h Z G 9 z I H B y b 2 1 v d m l k b 3 M u e 2 5 v b W J y Z V 9 0 a X B v X 3 V u a W R h Z C w y M X 0 m c X V v d D s s J n F 1 b 3 Q 7 U 2 V j d G l v b j E v Q T I w M j E v R W 5 j Y W J l e m F k b 3 M g c H J v b W 9 2 a W R v c y 5 7 d G l w b 1 9 w c m 9 n c m F t Y S w y M n 0 m c X V v d D s s J n F 1 b 3 Q 7 U 2 V j d G l v b j E v Q T I w M j E v R W 5 j Y W J l e m F k b 3 M g c H J v b W 9 2 a W R v c y 5 7 b m 9 t Y n J l X 3 R p c G 9 f c H J v Z 3 J h b W E s M j N 9 J n F 1 b 3 Q 7 L C Z x d W 9 0 O 1 N l Y 3 R p b 2 4 x L 0 E y M D I x L 0 V u Y 2 F i Z X p h Z G 9 z I H B y b 2 1 v d m l k b 3 M u e 2 5 v b W J y Z V 9 t Z X R v Z G 9 s b 2 d p Y S w y N H 0 m c X V v d D s s J n F 1 b 3 Q 7 U 2 V j d G l v b j E v Q T I w M j E v R W 5 j Y W J l e m F k b 3 M g c H J v b W 9 2 a W R v c y 5 7 d G l w b 1 9 k Z X B h c n R h b W V u d G 8 s M j V 9 J n F 1 b 3 Q 7 L C Z x d W 9 0 O 1 N l Y 3 R p b 2 4 x L 0 E y M D I x L 0 V u Y 2 F i Z X p h Z G 9 z I H B y b 2 1 v d m l k b 3 M u e 2 h v c m l 6 b 2 5 0 Z S w y N n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T I w M j E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T I w M j E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T I w M j E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T I w M j E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E y M D I x L 1 R p c G 8 l M j B j Y W 1 i a W F k b y U y M G N v b i U y M G N v b m Z p Z 3 V y Y W N p J U M z J U I z b i U y M H J l Z 2 l v b m F s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T I w M j E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E y M D I w L 0 Z p b G F z J T I w Z m l s d H J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l B p d m 9 0 T 2 J q Z W N 0 T m F t Z S I g V m F s d W U 9 I n N i Y X N l I V R h Y m x h R G l u w 6 F t a W N h M i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2 V D E 3 O j Q x O j I 4 L j k 3 M z Q 3 N z B a I i A v P j x F b n R y e S B U e X B l P S J R d W V y e U l E I i B W Y W x 1 Z T 0 i c 2 I x M j Y w O T V k L W I 5 Z W Y t N D d k Y S 1 h N z J h L W Y x M z c x Y j N h N W I 3 N i I g L z 4 8 R W 5 0 c n k g V H l w Z T 0 i R m l s b E N v d W 5 0 I i B W Y W x 1 Z T 0 i b D c 4 N D A z O C I g L z 4 8 R W 5 0 c n k g V H l w Z T 0 i R m l s b E N v b H V t b l R 5 c G V z I i B W Y W x 1 Z T 0 i c 0 F 3 T U d C Z 1 l H Q l F Z R 0 J n W U d C Z 0 1 H Q m d Z R 0 J n W U d C Z 1 l H Q m d Z R y I g L z 4 8 R W 5 0 c n k g V H l w Z T 0 i R m l s b E N v b H V t b k 5 h b W V z I i B W Y W x 1 Z T 0 i c 1 s m c X V v d D t h b m 8 m c X V v d D s s J n F 1 b 3 Q 7 b W V z J n F 1 b 3 Q 7 L C Z x d W 9 0 O 2 N 1 Z W 5 0 Y V 9 w c H R v J n F 1 b 3 Q 7 L C Z x d W 9 0 O 2 5 v b W J y Z V 9 j d W V u d G E m c X V v d D s s J n F 1 b 3 Q 7 Z 3 J 1 c G 9 f Y 3 V l b n R h J n F 1 b 3 Q 7 L C Z x d W 9 0 O 2 d y d X B v X 2 F u Y W x p c 2 l z J n F 1 b 3 Q 7 L C Z x d W 9 0 O 3 Z h b G 9 y J n F 1 b 3 Q 7 L C Z x d W 9 0 O 2 l u Z m 9 y b W F j a W 9 u J n F 1 b 3 Q 7 L C Z x d W 9 0 O 2 R l c G F y d G F t Z W 5 0 b 1 9 w Y W R y Z S Z x d W 9 0 O y w m c X V v d D t k Z X B h c n R h b W V u d G 9 f a G l q b y Z x d W 9 0 O y w m c X V v d D t k Z X B h c n R h b W V u d G 9 f a m V y Y X J x d W l h M S Z x d W 9 0 O y w m c X V v d D t k Z X B h c n R h b W V u d G 9 f a m V y Y X J x d W l h M i Z x d W 9 0 O y w m c X V v d D t u b 2 1 i c m V f Z G V w Y X J 0 Y W 1 l b n R v X 3 B h Z H J l J n F 1 b 3 Q 7 L C Z x d W 9 0 O 2 5 1 b W V y b 1 9 u a X Z l b C Z x d W 9 0 O y w m c X V v d D t u b 2 1 i c m V f Z G V w Y X J 0 Y W 1 l b n R v X 2 h p a m 8 m c X V v d D s s J n F 1 b 3 Q 7 c H J v e W V j d G 8 m c X V v d D s s J n F 1 b 3 Q 7 Z 3 J 1 c G 9 f a m V y Y X J x d W l h J n F 1 b 3 Q 7 L C Z x d W 9 0 O 2 5 v b W J y Z V 9 n c n V w b 1 9 q Z X J h c n F 1 a W E m c X V v d D s s J n F 1 b 3 Q 7 d G l w b 1 9 j d W V u d G E m c X V v d D s s J n F 1 b 3 Q 7 b m 9 t Y n J l X 3 R p c G 9 f Y 3 V l b n R h J n F 1 b 3 Q 7 L C Z x d W 9 0 O 3 R p c G 9 f d W 5 p Z G F k J n F 1 b 3 Q 7 L C Z x d W 9 0 O 2 5 v b W J y Z V 9 0 a X B v X 3 V u a W R h Z C Z x d W 9 0 O y w m c X V v d D t 0 a X B v X 3 B y b 2 d y Y W 1 h J n F 1 b 3 Q 7 L C Z x d W 9 0 O 2 5 v b W J y Z V 9 0 a X B v X 3 B y b 2 d y Y W 1 h J n F 1 b 3 Q 7 L C Z x d W 9 0 O 2 5 v b W J y Z V 9 t Z X R v Z G 9 s b 2 d p Y S Z x d W 9 0 O y w m c X V v d D t 0 a X B v X 2 R l c G F y d G F t Z W 5 0 b y Z x d W 9 0 O y w m c X V v d D t o b 3 J p e m 9 u d G U m c X V v d D t d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R i 9 P c m l n Z W 4 u e 2 F u b y w w f S Z x d W 9 0 O y w m c X V v d D t T Z W N 0 a W 9 u M S 9 J R i 9 P c m l n Z W 4 u e 2 1 l c y w x f S Z x d W 9 0 O y w m c X V v d D t T Z W N 0 a W 9 u M S 9 J R i 9 P c m l n Z W 4 u e 2 N 1 Z W 5 0 Y V 9 w c H R v L D J 9 J n F 1 b 3 Q 7 L C Z x d W 9 0 O 1 N l Y 3 R p b 2 4 x L 0 l G L 0 9 y a W d l b i 5 7 b m 9 t Y n J l X 2 N 1 Z W 5 0 Y S w z f S Z x d W 9 0 O y w m c X V v d D t T Z W N 0 a W 9 u M S 9 J R i 9 P c m l n Z W 4 u e 2 d y d X B v X 2 N 1 Z W 5 0 Y S w 0 f S Z x d W 9 0 O y w m c X V v d D t T Z W N 0 a W 9 u M S 9 J R i 9 P c m l n Z W 4 u e 2 d y d X B v X 2 F u Y W x p c 2 l z L D V 9 J n F 1 b 3 Q 7 L C Z x d W 9 0 O 1 N l Y 3 R p b 2 4 x L 0 l G L 0 9 y a W d l b i 5 7 d m F s b 3 I s N n 0 m c X V v d D s s J n F 1 b 3 Q 7 U 2 V j d G l v b j E v S U Y v T 3 J p Z 2 V u L n t p b m Z v c m 1 h Y 2 l v b i w 3 f S Z x d W 9 0 O y w m c X V v d D t T Z W N 0 a W 9 u M S 9 J R i 9 P c m l n Z W 4 u e 2 R l c G F y d G F t Z W 5 0 b 1 9 w Y W R y Z S w 4 f S Z x d W 9 0 O y w m c X V v d D t T Z W N 0 a W 9 u M S 9 J R i 9 P c m l n Z W 4 u e 2 R l c G F y d G F t Z W 5 0 b 1 9 o a W p v L D l 9 J n F 1 b 3 Q 7 L C Z x d W 9 0 O 1 N l Y 3 R p b 2 4 x L 0 l G L 0 9 y a W d l b i 5 7 Z G V w Y X J 0 Y W 1 l b n R v X 2 p l c m F y c X V p Y T E s M T B 9 J n F 1 b 3 Q 7 L C Z x d W 9 0 O 1 N l Y 3 R p b 2 4 x L 0 l G L 0 9 y a W d l b i 5 7 Z G V w Y X J 0 Y W 1 l b n R v X 2 p l c m F y c X V p Y T I s M T F 9 J n F 1 b 3 Q 7 L C Z x d W 9 0 O 1 N l Y 3 R p b 2 4 x L 0 l G L 0 9 y a W d l b i 5 7 b m 9 t Y n J l X 2 R l c G F y d G F t Z W 5 0 b 1 9 w Y W R y Z S w x M n 0 m c X V v d D s s J n F 1 b 3 Q 7 U 2 V j d G l v b j E v S U Y v T 3 J p Z 2 V u L n t u d W 1 l c m 9 f b m l 2 Z W w s M T N 9 J n F 1 b 3 Q 7 L C Z x d W 9 0 O 1 N l Y 3 R p b 2 4 x L 0 l G L 0 9 y a W d l b i 5 7 b m 9 t Y n J l X 2 R l c G F y d G F t Z W 5 0 b 1 9 o a W p v L D E 0 f S Z x d W 9 0 O y w m c X V v d D t T Z W N 0 a W 9 u M S 9 J R i 9 P c m l n Z W 4 u e 3 B y b 3 l l Y 3 R v L D E 1 f S Z x d W 9 0 O y w m c X V v d D t T Z W N 0 a W 9 u M S 9 J R i 9 P c m l n Z W 4 u e 2 d y d X B v X 2 p l c m F y c X V p Y S w x N n 0 m c X V v d D s s J n F 1 b 3 Q 7 U 2 V j d G l v b j E v S U Y v T 3 J p Z 2 V u L n t u b 2 1 i c m V f Z 3 J 1 c G 9 f a m V y Y X J x d W l h L D E 3 f S Z x d W 9 0 O y w m c X V v d D t T Z W N 0 a W 9 u M S 9 J R i 9 P c m l n Z W 4 u e 3 R p c G 9 f Y 3 V l b n R h L D E 4 f S Z x d W 9 0 O y w m c X V v d D t T Z W N 0 a W 9 u M S 9 J R i 9 P c m l n Z W 4 u e 2 5 v b W J y Z V 9 0 a X B v X 2 N 1 Z W 5 0 Y S w x O X 0 m c X V v d D s s J n F 1 b 3 Q 7 U 2 V j d G l v b j E v S U Y v T 3 J p Z 2 V u L n t 0 a X B v X 3 V u a W R h Z C w y M H 0 m c X V v d D s s J n F 1 b 3 Q 7 U 2 V j d G l v b j E v S U Y v T 3 J p Z 2 V u L n t u b 2 1 i c m V f d G l w b 1 9 1 b m l k Y W Q s M j F 9 J n F 1 b 3 Q 7 L C Z x d W 9 0 O 1 N l Y 3 R p b 2 4 x L 0 l G L 0 9 y a W d l b i 5 7 d G l w b 1 9 w c m 9 n c m F t Y S w y M n 0 m c X V v d D s s J n F 1 b 3 Q 7 U 2 V j d G l v b j E v S U Y v T 3 J p Z 2 V u L n t u b 2 1 i c m V f d G l w b 1 9 w c m 9 n c m F t Y S w y M 3 0 m c X V v d D s s J n F 1 b 3 Q 7 U 2 V j d G l v b j E v S U Y v T 3 J p Z 2 V u L n t u b 2 1 i c m V f b W V 0 b 2 R v b G 9 n a W E s M j R 9 J n F 1 b 3 Q 7 L C Z x d W 9 0 O 1 N l Y 3 R p b 2 4 x L 0 l G L 0 9 y a W d l b i 5 7 d G l w b 1 9 k Z X B h c n R h b W V u d G 8 s M j V 9 J n F 1 b 3 Q 7 L C Z x d W 9 0 O 1 N l Y 3 R p b 2 4 x L 0 l G L 0 9 y a W d l b i 5 7 a G 9 y a X p v b n R l L D I 2 f S Z x d W 9 0 O 1 0 s J n F 1 b 3 Q 7 Q 2 9 s d W 1 u Q 2 9 1 b n Q m c X V v d D s 6 M j c s J n F 1 b 3 Q 7 S 2 V 5 Q 2 9 s d W 1 u T m F t Z X M m c X V v d D s 6 W 1 0 s J n F 1 b 3 Q 7 Q 2 9 s d W 1 u S W R l b n R p d G l l c y Z x d W 9 0 O z p b J n F 1 b 3 Q 7 U 2 V j d G l v b j E v S U Y v T 3 J p Z 2 V u L n t h b m 8 s M H 0 m c X V v d D s s J n F 1 b 3 Q 7 U 2 V j d G l v b j E v S U Y v T 3 J p Z 2 V u L n t t Z X M s M X 0 m c X V v d D s s J n F 1 b 3 Q 7 U 2 V j d G l v b j E v S U Y v T 3 J p Z 2 V u L n t j d W V u d G F f c H B 0 b y w y f S Z x d W 9 0 O y w m c X V v d D t T Z W N 0 a W 9 u M S 9 J R i 9 P c m l n Z W 4 u e 2 5 v b W J y Z V 9 j d W V u d G E s M 3 0 m c X V v d D s s J n F 1 b 3 Q 7 U 2 V j d G l v b j E v S U Y v T 3 J p Z 2 V u L n t n c n V w b 1 9 j d W V u d G E s N H 0 m c X V v d D s s J n F 1 b 3 Q 7 U 2 V j d G l v b j E v S U Y v T 3 J p Z 2 V u L n t n c n V w b 1 9 h b m F s a X N p c y w 1 f S Z x d W 9 0 O y w m c X V v d D t T Z W N 0 a W 9 u M S 9 J R i 9 P c m l n Z W 4 u e 3 Z h b G 9 y L D Z 9 J n F 1 b 3 Q 7 L C Z x d W 9 0 O 1 N l Y 3 R p b 2 4 x L 0 l G L 0 9 y a W d l b i 5 7 a W 5 m b 3 J t Y W N p b 2 4 s N 3 0 m c X V v d D s s J n F 1 b 3 Q 7 U 2 V j d G l v b j E v S U Y v T 3 J p Z 2 V u L n t k Z X B h c n R h b W V u d G 9 f c G F k c m U s O H 0 m c X V v d D s s J n F 1 b 3 Q 7 U 2 V j d G l v b j E v S U Y v T 3 J p Z 2 V u L n t k Z X B h c n R h b W V u d G 9 f a G l q b y w 5 f S Z x d W 9 0 O y w m c X V v d D t T Z W N 0 a W 9 u M S 9 J R i 9 P c m l n Z W 4 u e 2 R l c G F y d G F t Z W 5 0 b 1 9 q Z X J h c n F 1 a W E x L D E w f S Z x d W 9 0 O y w m c X V v d D t T Z W N 0 a W 9 u M S 9 J R i 9 P c m l n Z W 4 u e 2 R l c G F y d G F t Z W 5 0 b 1 9 q Z X J h c n F 1 a W E y L D E x f S Z x d W 9 0 O y w m c X V v d D t T Z W N 0 a W 9 u M S 9 J R i 9 P c m l n Z W 4 u e 2 5 v b W J y Z V 9 k Z X B h c n R h b W V u d G 9 f c G F k c m U s M T J 9 J n F 1 b 3 Q 7 L C Z x d W 9 0 O 1 N l Y 3 R p b 2 4 x L 0 l G L 0 9 y a W d l b i 5 7 b n V t Z X J v X 2 5 p d m V s L D E z f S Z x d W 9 0 O y w m c X V v d D t T Z W N 0 a W 9 u M S 9 J R i 9 P c m l n Z W 4 u e 2 5 v b W J y Z V 9 k Z X B h c n R h b W V u d G 9 f a G l q b y w x N H 0 m c X V v d D s s J n F 1 b 3 Q 7 U 2 V j d G l v b j E v S U Y v T 3 J p Z 2 V u L n t w c m 9 5 Z W N 0 b y w x N X 0 m c X V v d D s s J n F 1 b 3 Q 7 U 2 V j d G l v b j E v S U Y v T 3 J p Z 2 V u L n t n c n V w b 1 9 q Z X J h c n F 1 a W E s M T Z 9 J n F 1 b 3 Q 7 L C Z x d W 9 0 O 1 N l Y 3 R p b 2 4 x L 0 l G L 0 9 y a W d l b i 5 7 b m 9 t Y n J l X 2 d y d X B v X 2 p l c m F y c X V p Y S w x N 3 0 m c X V v d D s s J n F 1 b 3 Q 7 U 2 V j d G l v b j E v S U Y v T 3 J p Z 2 V u L n t 0 a X B v X 2 N 1 Z W 5 0 Y S w x O H 0 m c X V v d D s s J n F 1 b 3 Q 7 U 2 V j d G l v b j E v S U Y v T 3 J p Z 2 V u L n t u b 2 1 i c m V f d G l w b 1 9 j d W V u d G E s M T l 9 J n F 1 b 3 Q 7 L C Z x d W 9 0 O 1 N l Y 3 R p b 2 4 x L 0 l G L 0 9 y a W d l b i 5 7 d G l w b 1 9 1 b m l k Y W Q s M j B 9 J n F 1 b 3 Q 7 L C Z x d W 9 0 O 1 N l Y 3 R p b 2 4 x L 0 l G L 0 9 y a W d l b i 5 7 b m 9 t Y n J l X 3 R p c G 9 f d W 5 p Z G F k L D I x f S Z x d W 9 0 O y w m c X V v d D t T Z W N 0 a W 9 u M S 9 J R i 9 P c m l n Z W 4 u e 3 R p c G 9 f c H J v Z 3 J h b W E s M j J 9 J n F 1 b 3 Q 7 L C Z x d W 9 0 O 1 N l Y 3 R p b 2 4 x L 0 l G L 0 9 y a W d l b i 5 7 b m 9 t Y n J l X 3 R p c G 9 f c H J v Z 3 J h b W E s M j N 9 J n F 1 b 3 Q 7 L C Z x d W 9 0 O 1 N l Y 3 R p b 2 4 x L 0 l G L 0 9 y a W d l b i 5 7 b m 9 t Y n J l X 2 1 l d G 9 k b 2 x v Z 2 l h L D I 0 f S Z x d W 9 0 O y w m c X V v d D t T Z W N 0 a W 9 u M S 9 J R i 9 P c m l n Z W 4 u e 3 R p c G 9 f Z G V w Y X J 0 Y W 1 l b n R v L D I 1 f S Z x d W 9 0 O y w m c X V v d D t T Z W N 0 a W 9 u M S 9 J R i 9 P c m l n Z W 4 u e 2 h v c m l 6 b 2 5 0 Z S w y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l G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v Y m x h Y 2 l v b l 9 w c m V n c m F k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G F z d F V w Z G F 0 Z W Q i I F Z h b H V l P S J k M j A y M S 0 w M i 0 x N V Q y M D o 1 M D o x N C 4 x M T E 4 M D U 0 W i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Q 2 9 s d W 1 u V H l w Z X M i I F Z h b H V l P S J z Q X d Z R E J n W U d C Z 1 l G Q l F V R k J R V U Y i I C 8 + P E V u d H J 5 I F R 5 c G U 9 I k Z p b G x l Z E N v b X B s Z X R l U m V z d W x 0 V G 9 X b 3 J r c 2 h l Z X Q i I F Z h b H V l P S J s M C I g L z 4 8 R W 5 0 c n k g V H l w Z T 0 i R m l s b E N v b H V t b k 5 h b W V z I i B W Y W x 1 Z T 0 i c 1 s m c X V v d D t h b m 8 m c X V v d D s s J n F 1 b 3 Q 7 c G V y a W 9 k b y Z x d W 9 0 O y w m c X V v d D t z Z W 1 l c 3 R y Z S Z x d W 9 0 O y w m c X V v d D t k Z X B h c n R h b W V u d G 9 f c G F k c m U m c X V v d D s s J n F 1 b 3 Q 7 b m 9 t Y n J l X 2 R l c G F y d G F t Z W 5 0 b 1 9 w Y W R y Z S Z x d W 9 0 O y w m c X V v d D t k Z X B h c n R h b W V u d G 8 m c X V v d D s s J n F 1 b 3 Q 7 b m 9 t Y n J l X 2 R l c G F y d G F t Z W 5 0 b 1 9 o a W p v J n F 1 b 3 Q 7 L C Z x d W 9 0 O 2 5 v b W J y Z V 9 0 a X B v X 2 V z d H V k a W F u d G U m c X V v d D s s J n F 1 b 3 Q 7 c H B 0 b 1 9 u d W V 2 b 3 M m c X V v d D s s J n F 1 b 3 Q 7 c H B 0 b 1 9 h b n R p Z 3 V v c y Z x d W 9 0 O y w m c X V v d D t y Z W F s X 2 5 1 Z X Z v c y Z x d W 9 0 O y w m c X V v d D t y Z W F s X 2 F u d G l n d W 9 z J n F 1 b 3 Q 7 L C Z x d W 9 0 O 3 B w d G 8 m c X V v d D s s J n F 1 b 3 Q 7 c m V h b C Z x d W 9 0 O y w m c X V v d D t k a W Z l c m V u Y 2 l h J n F 1 b 3 Q 7 X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v Y m x h Y 2 l v b l 9 w c m V n c m F k b y 9 W Y W x v c i B y Z W V t c G x h e m F k b y 5 7 Y W 5 v L D B 9 J n F 1 b 3 Q 7 L C Z x d W 9 0 O 1 N l Y 3 R p b 2 4 x L 3 B v Y m x h Y 2 l v b l 9 w c m V n c m F k b y 9 W Y W x v c i B y Z W V t c G x h e m F k b y 5 7 c G V y a W 9 k b y w x f S Z x d W 9 0 O y w m c X V v d D t T Z W N 0 a W 9 u M S 9 w b 2 J s Y W N p b 2 5 f c H J l Z 3 J h Z G 8 v V m F s b 3 I g c m V l b X B s Y X p h Z G 8 u e 3 N l b W V z d H J l L D J 9 J n F 1 b 3 Q 7 L C Z x d W 9 0 O 1 N l Y 3 R p b 2 4 x L 3 B v Y m x h Y 2 l v b l 9 w c m V n c m F k b y 9 W Y W x v c i B y Z W V t c G x h e m F k b y 5 7 Z G V w Y X J 0 Y W 1 l b n R v X 3 B h Z H J l L D N 9 J n F 1 b 3 Q 7 L C Z x d W 9 0 O 1 N l Y 3 R p b 2 4 x L 3 B v Y m x h Y 2 l v b l 9 w c m V n c m F k b y 9 W Y W x v c i B y Z W V t c G x h e m F k b y 5 7 b m 9 t Y n J l X 2 R l c G F y d G F t Z W 5 0 b 1 9 w Y W R y Z S w 0 f S Z x d W 9 0 O y w m c X V v d D t T Z W N 0 a W 9 u M S 9 w b 2 J s Y W N p b 2 5 f c H J l Z 3 J h Z G 8 v V m F s b 3 I g c m V l b X B s Y X p h Z G 8 u e 2 R l c G F y d G F t Z W 5 0 b y w 1 f S Z x d W 9 0 O y w m c X V v d D t T Z W N 0 a W 9 u M S 9 w b 2 J s Y W N p b 2 5 f c H J l Z 3 J h Z G 8 v V m F s b 3 I g c m V l b X B s Y X p h Z G 8 u e 2 5 v b W J y Z V 9 k Z X B h c n R h b W V u d G 9 f a G l q b y w 2 f S Z x d W 9 0 O y w m c X V v d D t T Z W N 0 a W 9 u M S 9 w b 2 J s Y W N p b 2 5 f c H J l Z 3 J h Z G 8 v V m F s b 3 I g c m V l b X B s Y X p h Z G 8 u e 2 5 v b W J y Z V 9 0 a X B v X 2 V z d H V k a W F u d G U s N 3 0 m c X V v d D s s J n F 1 b 3 Q 7 U 2 V j d G l v b j E v c G 9 i b G F j a W 9 u X 3 B y Z W d y Y W R v L 1 R p c G 8 g Y 2 F t Y m l h Z G 8 g Y 2 9 u I G N v b m Z p Z 3 V y Y W N p w 7 N u I H J l Z 2 l v b m F s L n t w c H R v X 2 5 1 Z X Z v c y w 4 f S Z x d W 9 0 O y w m c X V v d D t T Z W N 0 a W 9 u M S 9 w b 2 J s Y W N p b 2 5 f c H J l Z 3 J h Z G 8 v V G l w b y B j Y W 1 i a W F k b y B j b 2 4 g Y 2 9 u Z m l n d X J h Y 2 n D s 2 4 g c m V n a W 9 u Y W w u e 3 B w d G 9 f Y W 5 0 a W d 1 b 3 M s O X 0 m c X V v d D s s J n F 1 b 3 Q 7 U 2 V j d G l v b j E v c G 9 i b G F j a W 9 u X 3 B y Z W d y Y W R v L 1 R p c G 8 g Y 2 F t Y m l h Z G 8 g Y 2 9 u I G N v b m Z p Z 3 V y Y W N p w 7 N u I H J l Z 2 l v b m F s L n t y Z W F s X 2 5 1 Z X Z v c y w x M H 0 m c X V v d D s s J n F 1 b 3 Q 7 U 2 V j d G l v b j E v c G 9 i b G F j a W 9 u X 3 B y Z W d y Y W R v L 1 R p c G 8 g Y 2 F t Y m l h Z G 8 g Y 2 9 u I G N v b m Z p Z 3 V y Y W N p w 7 N u I H J l Z 2 l v b m F s L n t y Z W F s X 2 F u d G l n d W 9 z L D E x f S Z x d W 9 0 O y w m c X V v d D t T Z W N 0 a W 9 u M S 9 w b 2 J s Y W N p b 2 5 f c H J l Z 3 J h Z G 8 v V G l w b y B j Y W 1 i a W F k b y B j b 2 4 g Y 2 9 u Z m l n d X J h Y 2 n D s 2 4 g c m V n a W 9 u Y W w u e 3 B w d G 8 s M T J 9 J n F 1 b 3 Q 7 L C Z x d W 9 0 O 1 N l Y 3 R p b 2 4 x L 3 B v Y m x h Y 2 l v b l 9 w c m V n c m F k b y 9 U a X B v I G N h b W J p Y W R v I G N v b i B j b 2 5 m a W d 1 c m F j a c O z b i B y Z W d p b 2 5 h b C 5 7 c m V h b C w x M 3 0 m c X V v d D s s J n F 1 b 3 Q 7 U 2 V j d G l v b j E v c G 9 i b G F j a W 9 u X 3 B y Z W d y Y W R v L 1 R p c G 8 g Y 2 F t Y m l h Z G 8 g Y 2 9 u I G N v b m Z p Z 3 V y Y W N p w 7 N u I H J l Z 2 l v b m F s L n t k a W Z l c m V u Y 2 l h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c G 9 i b G F j a W 9 u X 3 B y Z W d y Y W R v L 1 Z h b G 9 y I H J l Z W 1 w b G F 6 Y W R v L n t h b m 8 s M H 0 m c X V v d D s s J n F 1 b 3 Q 7 U 2 V j d G l v b j E v c G 9 i b G F j a W 9 u X 3 B y Z W d y Y W R v L 1 Z h b G 9 y I H J l Z W 1 w b G F 6 Y W R v L n t w Z X J p b 2 R v L D F 9 J n F 1 b 3 Q 7 L C Z x d W 9 0 O 1 N l Y 3 R p b 2 4 x L 3 B v Y m x h Y 2 l v b l 9 w c m V n c m F k b y 9 W Y W x v c i B y Z W V t c G x h e m F k b y 5 7 c 2 V t Z X N 0 c m U s M n 0 m c X V v d D s s J n F 1 b 3 Q 7 U 2 V j d G l v b j E v c G 9 i b G F j a W 9 u X 3 B y Z W d y Y W R v L 1 Z h b G 9 y I H J l Z W 1 w b G F 6 Y W R v L n t k Z X B h c n R h b W V u d G 9 f c G F k c m U s M 3 0 m c X V v d D s s J n F 1 b 3 Q 7 U 2 V j d G l v b j E v c G 9 i b G F j a W 9 u X 3 B y Z W d y Y W R v L 1 Z h b G 9 y I H J l Z W 1 w b G F 6 Y W R v L n t u b 2 1 i c m V f Z G V w Y X J 0 Y W 1 l b n R v X 3 B h Z H J l L D R 9 J n F 1 b 3 Q 7 L C Z x d W 9 0 O 1 N l Y 3 R p b 2 4 x L 3 B v Y m x h Y 2 l v b l 9 w c m V n c m F k b y 9 W Y W x v c i B y Z W V t c G x h e m F k b y 5 7 Z G V w Y X J 0 Y W 1 l b n R v L D V 9 J n F 1 b 3 Q 7 L C Z x d W 9 0 O 1 N l Y 3 R p b 2 4 x L 3 B v Y m x h Y 2 l v b l 9 w c m V n c m F k b y 9 W Y W x v c i B y Z W V t c G x h e m F k b y 5 7 b m 9 t Y n J l X 2 R l c G F y d G F t Z W 5 0 b 1 9 o a W p v L D Z 9 J n F 1 b 3 Q 7 L C Z x d W 9 0 O 1 N l Y 3 R p b 2 4 x L 3 B v Y m x h Y 2 l v b l 9 w c m V n c m F k b y 9 W Y W x v c i B y Z W V t c G x h e m F k b y 5 7 b m 9 t Y n J l X 3 R p c G 9 f Z X N 0 d W R p Y W 5 0 Z S w 3 f S Z x d W 9 0 O y w m c X V v d D t T Z W N 0 a W 9 u M S 9 w b 2 J s Y W N p b 2 5 f c H J l Z 3 J h Z G 8 v V G l w b y B j Y W 1 i a W F k b y B j b 2 4 g Y 2 9 u Z m l n d X J h Y 2 n D s 2 4 g c m V n a W 9 u Y W w u e 3 B w d G 9 f b n V l d m 9 z L D h 9 J n F 1 b 3 Q 7 L C Z x d W 9 0 O 1 N l Y 3 R p b 2 4 x L 3 B v Y m x h Y 2 l v b l 9 w c m V n c m F k b y 9 U a X B v I G N h b W J p Y W R v I G N v b i B j b 2 5 m a W d 1 c m F j a c O z b i B y Z W d p b 2 5 h b C 5 7 c H B 0 b 1 9 h b n R p Z 3 V v c y w 5 f S Z x d W 9 0 O y w m c X V v d D t T Z W N 0 a W 9 u M S 9 w b 2 J s Y W N p b 2 5 f c H J l Z 3 J h Z G 8 v V G l w b y B j Y W 1 i a W F k b y B j b 2 4 g Y 2 9 u Z m l n d X J h Y 2 n D s 2 4 g c m V n a W 9 u Y W w u e 3 J l Y W x f b n V l d m 9 z L D E w f S Z x d W 9 0 O y w m c X V v d D t T Z W N 0 a W 9 u M S 9 w b 2 J s Y W N p b 2 5 f c H J l Z 3 J h Z G 8 v V G l w b y B j Y W 1 i a W F k b y B j b 2 4 g Y 2 9 u Z m l n d X J h Y 2 n D s 2 4 g c m V n a W 9 u Y W w u e 3 J l Y W x f Y W 5 0 a W d 1 b 3 M s M T F 9 J n F 1 b 3 Q 7 L C Z x d W 9 0 O 1 N l Y 3 R p b 2 4 x L 3 B v Y m x h Y 2 l v b l 9 w c m V n c m F k b y 9 U a X B v I G N h b W J p Y W R v I G N v b i B j b 2 5 m a W d 1 c m F j a c O z b i B y Z W d p b 2 5 h b C 5 7 c H B 0 b y w x M n 0 m c X V v d D s s J n F 1 b 3 Q 7 U 2 V j d G l v b j E v c G 9 i b G F j a W 9 u X 3 B y Z W d y Y W R v L 1 R p c G 8 g Y 2 F t Y m l h Z G 8 g Y 2 9 u I G N v b m Z p Z 3 V y Y W N p w 7 N u I H J l Z 2 l v b m F s L n t y Z W F s L D E z f S Z x d W 9 0 O y w m c X V v d D t T Z W N 0 a W 9 u M S 9 w b 2 J s Y W N p b 2 5 f c H J l Z 3 J h Z G 8 v V G l w b y B j Y W 1 i a W F k b y B j b 2 4 g Y 2 9 u Z m l n d X J h Y 2 n D s 2 4 g c m V n a W 9 u Y W w u e 2 R p Z m V y Z W 5 j a W E s M T R 9 J n F 1 b 3 Q 7 X S w m c X V v d D t S Z W x h d G l v b n N o a X B J b m Z v J n F 1 b 3 Q 7 O l t d f S I g L z 4 8 R W 5 0 c n k g V H l w Z T 0 i R m l s b F N 0 Y X R 1 c y I g V m F s d W U 9 I n N D b 2 1 w b G V 0 Z S I g L z 4 8 R W 5 0 c n k g V H l w Z T 0 i U G l 2 b 3 R P Y m p l Y 3 R O Y W 1 l I i B W Y W x 1 Z T 0 i c 3 B f c H J l Z 3 J h Z G 8 h V G F i b G F E a W 7 D o W 1 p Y 2 E 5 I i A v P j x F b n R y e S B U e X B l P S J G a W x s V G 9 E Y X R h T W 9 k Z W x F b m F i b G V k I i B W Y W x 1 Z T 0 i b D E i I C 8 + P E V u d H J 5 I F R 5 c G U 9 I k Z p b G x P Y m p l Y 3 R U e X B l I i B W Y W x 1 Z T 0 i c 1 B p d m 9 0 V G F i b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4 M C I g L z 4 8 R W 5 0 c n k g V H l w Z T 0 i Q W R k Z W R U b 0 R h d G F N b 2 R l b C I g V m F s d W U 9 I m w x I i A v P j x F b n R y e S B U e X B l P S J R d W V y e U l E I i B W Y W x 1 Z T 0 i c 2 V i Y z k 0 N W M z L T B k O D g t N G M y Z C 1 i M G E 5 L W N j Y m E 4 O G N m Y j U 1 N i I g L z 4 8 L 1 N 0 Y W J s Z U V u d H J p Z X M + P C 9 J d G V t P j x J d G V t P j x J d G V t T G 9 j Y X R p b 2 4 + P E l 0 Z W 1 U e X B l P k Z v c m 1 1 b G E 8 L 0 l 0 Z W 1 U e X B l P j x J d G V t U G F 0 a D 5 T Z W N 0 a W 9 u M S 9 w b 2 J s Y W N p b 2 5 f c H J l Z 3 J h Z G 8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9 i b G F j a W 9 u X 3 B y Z W d y Y W R v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v Y m x h Y 2 l v b l 9 w b 3 N 0 Z 3 J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F k Z G V k V G 9 E Y X R h T W 9 k Z W w i I F Z h b H V l P S J s M S I g L z 4 8 R W 5 0 c n k g V H l w Z T 0 i R m l s b E N v d W 5 0 I i B W Y W x 1 Z T 0 i b D g 0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S 0 y N V Q x O T o 1 M T o y M i 4 z N D A 0 M D M z W i I g L z 4 8 R W 5 0 c n k g V H l w Z T 0 i R m l s b E N v b H V t b l R 5 c G V z I i B W Y W x 1 Z T 0 i c 0 F 3 W U R C Z 1 l H Q m d Z R 0 J n W U R B d 0 1 E Q X d N R C I g L z 4 8 R W 5 0 c n k g V H l w Z T 0 i R m l s b E N v b H V t b k 5 h b W V z I i B W Y W x 1 Z T 0 i c 1 s m c X V v d D t h b m 8 m c X V v d D s s J n F 1 b 3 Q 7 c G V y a W 9 k b y Z x d W 9 0 O y w m c X V v d D t z Z W 1 l c 3 R y Z S Z x d W 9 0 O y w m c X V v d D t m Z W N o Y S Z x d W 9 0 O y w m c X V v d D t k Z X B h c n R h b W V u d G 9 f c G F k c m U m c X V v d D s s J n F 1 b 3 Q 7 b m 9 t Y n J l X 2 R l c G F y d G F t Z W 5 0 b 1 9 w Y W R y Z S Z x d W 9 0 O y w m c X V v d D t k Z X B h c n R h b W V u d G 8 m c X V v d D s s J n F 1 b 3 Q 7 b m 9 t Y n J l X 2 R l c G F y d G F t Z W 5 0 b 1 9 o a W p v J n F 1 b 3 Q 7 L C Z x d W 9 0 O 3 R p c G 9 f c H J v Z 3 J h b W E m c X V v d D s s J n F 1 b 3 Q 7 b m 9 t Y n J l X 3 R p c G 9 f c H J v Z 3 J h b W E m c X V v d D s s J n F 1 b 3 Q 7 b m 9 t Y n J l X 2 1 l d G 9 k b 2 x v Z 2 l h J n F 1 b 3 Q 7 L C Z x d W 9 0 O 3 B w d G 9 f b n V l d m 9 z J n F 1 b 3 Q 7 L C Z x d W 9 0 O 3 B w d G 9 f Y W 5 0 a W d 1 b 3 M m c X V v d D s s J n F 1 b 3 Q 7 c m V h b F 9 u d W V 2 b 3 M m c X V v d D s s J n F 1 b 3 Q 7 c m V h b F 9 h b n R p Z 3 V v c y Z x d W 9 0 O y w m c X V v d D t w c H R v J n F 1 b 3 Q 7 L C Z x d W 9 0 O 3 J l Y W w m c X V v d D s s J n F 1 b 3 Q 7 Z G l m Z X J l b m N p Y S Z x d W 9 0 O 1 0 i I C 8 + P E V u d H J 5 I F R 5 c G U 9 I k Z p b G x T d G F 0 d X M i I F Z h b H V l P S J z Q 2 9 t c G x l d G U i I C 8 + P E V u d H J 5 I F R 5 c G U 9 I l B p d m 9 0 T 2 J q Z W N 0 T m F t Z S I g V m F s d W U 9 I n N w X 3 B v c 3 R n c m F k b y F U Y W J s Y U R p b s O h b W l j Y T c i I C 8 + P E V u d H J 5 I F R 5 c G U 9 I k Z p b G x l Z E N v b X B s Z X R l U m V z d W x 0 V G 9 X b 3 J r c 2 h l Z X Q i I F Z h b H V l P S J s M C I g L z 4 8 R W 5 0 c n k g V H l w Z T 0 i U X V l c n l J R C I g V m F s d W U 9 I n M 5 Y j Y 2 Z D V j M i 0 5 N m F h L T Q 4 M T I t O W Y x Y S 1 k M m Q 2 Y j U 1 O W E 5 O W Y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b 2 J s Y W N p b 2 5 f c G 9 z d G d y Y W R v L 1 R p c G 8 g Y 2 F t Y m l h Z G 8 u e 2 F u b y w w f S Z x d W 9 0 O y w m c X V v d D t T Z W N 0 a W 9 u M S 9 w b 2 J s Y W N p b 2 5 f c G 9 z d G d y Y W R v L 0 V u Y 2 F i Z X p h Z G 9 z I H B y b 2 1 v d m l k b 3 M u e 3 B l c m l v Z G 8 s M X 0 m c X V v d D s s J n F 1 b 3 Q 7 U 2 V j d G l v b j E v c G 9 i b G F j a W 9 u X 3 B v c 3 R n c m F k b y 9 U a X B v I G N h b W J p Y W R v L n t z Z W 1 l c 3 R y Z S w y f S Z x d W 9 0 O y w m c X V v d D t T Z W N 0 a W 9 u M S 9 w b 2 J s Y W N p b 2 5 f c G 9 z d G d y Y W R v L 0 V u Y 2 F i Z X p h Z G 9 z I H B y b 2 1 v d m l k b 3 M u e 2 Z l Y 2 h h L D N 9 J n F 1 b 3 Q 7 L C Z x d W 9 0 O 1 N l Y 3 R p b 2 4 x L 3 B v Y m x h Y 2 l v b l 9 w b 3 N 0 Z 3 J h Z G 8 v R W 5 j Y W J l e m F k b 3 M g c H J v b W 9 2 a W R v c y 5 7 Z G V w Y X J 0 Y W 1 l b n R v X 3 B h Z H J l L D R 9 J n F 1 b 3 Q 7 L C Z x d W 9 0 O 1 N l Y 3 R p b 2 4 x L 3 B v Y m x h Y 2 l v b l 9 w b 3 N 0 Z 3 J h Z G 8 v R W 5 j Y W J l e m F k b 3 M g c H J v b W 9 2 a W R v c y 5 7 b m 9 t Y n J l X 2 R l c G F y d G F t Z W 5 0 b 1 9 w Y W R y Z S w 1 f S Z x d W 9 0 O y w m c X V v d D t T Z W N 0 a W 9 u M S 9 w b 2 J s Y W N p b 2 5 f c G 9 z d G d y Y W R v L 0 V u Y 2 F i Z X p h Z G 9 z I H B y b 2 1 v d m l k b 3 M u e 2 R l c G F y d G F t Z W 5 0 b y w 2 f S Z x d W 9 0 O y w m c X V v d D t T Z W N 0 a W 9 u M S 9 w b 2 J s Y W N p b 2 5 f c G 9 z d G d y Y W R v L 0 V u Y 2 F i Z X p h Z G 9 z I H B y b 2 1 v d m l k b 3 M u e 2 5 v b W J y Z V 9 k Z X B h c n R h b W V u d G 9 f a G l q b y w 3 f S Z x d W 9 0 O y w m c X V v d D t T Z W N 0 a W 9 u M S 9 w b 2 J s Y W N p b 2 5 f c G 9 z d G d y Y W R v L 0 V u Y 2 F i Z X p h Z G 9 z I H B y b 2 1 v d m l k b 3 M u e 3 R p c G 9 f c H J v Z 3 J h b W E s O H 0 m c X V v d D s s J n F 1 b 3 Q 7 U 2 V j d G l v b j E v c G 9 i b G F j a W 9 u X 3 B v c 3 R n c m F k b y 9 F b m N h Y m V 6 Y W R v c y B w c m 9 t b 3 Z p Z G 9 z L n t u b 2 1 i c m V f d G l w b 1 9 w c m 9 n c m F t Y S w 5 f S Z x d W 9 0 O y w m c X V v d D t T Z W N 0 a W 9 u M S 9 w b 2 J s Y W N p b 2 5 f c G 9 z d G d y Y W R v L 0 V u Y 2 F i Z X p h Z G 9 z I H B y b 2 1 v d m l k b 3 M u e 2 5 v b W J y Z V 9 t Z X R v Z G 9 s b 2 d p Y S w x M H 0 m c X V v d D s s J n F 1 b 3 Q 7 U 2 V j d G l v b j E v c G 9 i b G F j a W 9 u X 3 B v c 3 R n c m F k b y 9 U a X B v I G N h b W J p Y W R v L n t w c H R v X 2 5 1 Z X Z v c y w x M X 0 m c X V v d D s s J n F 1 b 3 Q 7 U 2 V j d G l v b j E v c G 9 i b G F j a W 9 u X 3 B v c 3 R n c m F k b y 9 U a X B v I G N h b W J p Y W R v L n t w c H R v X 2 F u d G l n d W 9 z L D E y f S Z x d W 9 0 O y w m c X V v d D t T Z W N 0 a W 9 u M S 9 w b 2 J s Y W N p b 2 5 f c G 9 z d G d y Y W R v L 1 R p c G 8 g Y 2 F t Y m l h Z G 8 u e 3 J l Y W x f b n V l d m 9 z L D E z f S Z x d W 9 0 O y w m c X V v d D t T Z W N 0 a W 9 u M S 9 w b 2 J s Y W N p b 2 5 f c G 9 z d G d y Y W R v L 1 R p c G 8 g Y 2 F t Y m l h Z G 8 u e 3 J l Y W x f Y W 5 0 a W d 1 b 3 M s M T R 9 J n F 1 b 3 Q 7 L C Z x d W 9 0 O 1 N l Y 3 R p b 2 4 x L 3 B v Y m x h Y 2 l v b l 9 w b 3 N 0 Z 3 J h Z G 8 v V G l w b y B j Y W 1 i a W F k b y 5 7 c H B 0 b y w x N X 0 m c X V v d D s s J n F 1 b 3 Q 7 U 2 V j d G l v b j E v c G 9 i b G F j a W 9 u X 3 B v c 3 R n c m F k b y 9 U a X B v I G N h b W J p Y W R v L n t y Z W F s L D E 2 f S Z x d W 9 0 O y w m c X V v d D t T Z W N 0 a W 9 u M S 9 w b 2 J s Y W N p b 2 5 f c G 9 z d G d y Y W R v L 1 R p c G 8 g Y 2 F t Y m l h Z G 8 u e 2 R p Z m V y Z W 5 j a W E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w b 2 J s Y W N p b 2 5 f c G 9 z d G d y Y W R v L 1 R p c G 8 g Y 2 F t Y m l h Z G 8 u e 2 F u b y w w f S Z x d W 9 0 O y w m c X V v d D t T Z W N 0 a W 9 u M S 9 w b 2 J s Y W N p b 2 5 f c G 9 z d G d y Y W R v L 0 V u Y 2 F i Z X p h Z G 9 z I H B y b 2 1 v d m l k b 3 M u e 3 B l c m l v Z G 8 s M X 0 m c X V v d D s s J n F 1 b 3 Q 7 U 2 V j d G l v b j E v c G 9 i b G F j a W 9 u X 3 B v c 3 R n c m F k b y 9 U a X B v I G N h b W J p Y W R v L n t z Z W 1 l c 3 R y Z S w y f S Z x d W 9 0 O y w m c X V v d D t T Z W N 0 a W 9 u M S 9 w b 2 J s Y W N p b 2 5 f c G 9 z d G d y Y W R v L 0 V u Y 2 F i Z X p h Z G 9 z I H B y b 2 1 v d m l k b 3 M u e 2 Z l Y 2 h h L D N 9 J n F 1 b 3 Q 7 L C Z x d W 9 0 O 1 N l Y 3 R p b 2 4 x L 3 B v Y m x h Y 2 l v b l 9 w b 3 N 0 Z 3 J h Z G 8 v R W 5 j Y W J l e m F k b 3 M g c H J v b W 9 2 a W R v c y 5 7 Z G V w Y X J 0 Y W 1 l b n R v X 3 B h Z H J l L D R 9 J n F 1 b 3 Q 7 L C Z x d W 9 0 O 1 N l Y 3 R p b 2 4 x L 3 B v Y m x h Y 2 l v b l 9 w b 3 N 0 Z 3 J h Z G 8 v R W 5 j Y W J l e m F k b 3 M g c H J v b W 9 2 a W R v c y 5 7 b m 9 t Y n J l X 2 R l c G F y d G F t Z W 5 0 b 1 9 w Y W R y Z S w 1 f S Z x d W 9 0 O y w m c X V v d D t T Z W N 0 a W 9 u M S 9 w b 2 J s Y W N p b 2 5 f c G 9 z d G d y Y W R v L 0 V u Y 2 F i Z X p h Z G 9 z I H B y b 2 1 v d m l k b 3 M u e 2 R l c G F y d G F t Z W 5 0 b y w 2 f S Z x d W 9 0 O y w m c X V v d D t T Z W N 0 a W 9 u M S 9 w b 2 J s Y W N p b 2 5 f c G 9 z d G d y Y W R v L 0 V u Y 2 F i Z X p h Z G 9 z I H B y b 2 1 v d m l k b 3 M u e 2 5 v b W J y Z V 9 k Z X B h c n R h b W V u d G 9 f a G l q b y w 3 f S Z x d W 9 0 O y w m c X V v d D t T Z W N 0 a W 9 u M S 9 w b 2 J s Y W N p b 2 5 f c G 9 z d G d y Y W R v L 0 V u Y 2 F i Z X p h Z G 9 z I H B y b 2 1 v d m l k b 3 M u e 3 R p c G 9 f c H J v Z 3 J h b W E s O H 0 m c X V v d D s s J n F 1 b 3 Q 7 U 2 V j d G l v b j E v c G 9 i b G F j a W 9 u X 3 B v c 3 R n c m F k b y 9 F b m N h Y m V 6 Y W R v c y B w c m 9 t b 3 Z p Z G 9 z L n t u b 2 1 i c m V f d G l w b 1 9 w c m 9 n c m F t Y S w 5 f S Z x d W 9 0 O y w m c X V v d D t T Z W N 0 a W 9 u M S 9 w b 2 J s Y W N p b 2 5 f c G 9 z d G d y Y W R v L 0 V u Y 2 F i Z X p h Z G 9 z I H B y b 2 1 v d m l k b 3 M u e 2 5 v b W J y Z V 9 t Z X R v Z G 9 s b 2 d p Y S w x M H 0 m c X V v d D s s J n F 1 b 3 Q 7 U 2 V j d G l v b j E v c G 9 i b G F j a W 9 u X 3 B v c 3 R n c m F k b y 9 U a X B v I G N h b W J p Y W R v L n t w c H R v X 2 5 1 Z X Z v c y w x M X 0 m c X V v d D s s J n F 1 b 3 Q 7 U 2 V j d G l v b j E v c G 9 i b G F j a W 9 u X 3 B v c 3 R n c m F k b y 9 U a X B v I G N h b W J p Y W R v L n t w c H R v X 2 F u d G l n d W 9 z L D E y f S Z x d W 9 0 O y w m c X V v d D t T Z W N 0 a W 9 u M S 9 w b 2 J s Y W N p b 2 5 f c G 9 z d G d y Y W R v L 1 R p c G 8 g Y 2 F t Y m l h Z G 8 u e 3 J l Y W x f b n V l d m 9 z L D E z f S Z x d W 9 0 O y w m c X V v d D t T Z W N 0 a W 9 u M S 9 w b 2 J s Y W N p b 2 5 f c G 9 z d G d y Y W R v L 1 R p c G 8 g Y 2 F t Y m l h Z G 8 u e 3 J l Y W x f Y W 5 0 a W d 1 b 3 M s M T R 9 J n F 1 b 3 Q 7 L C Z x d W 9 0 O 1 N l Y 3 R p b 2 4 x L 3 B v Y m x h Y 2 l v b l 9 w b 3 N 0 Z 3 J h Z G 8 v V G l w b y B j Y W 1 i a W F k b y 5 7 c H B 0 b y w x N X 0 m c X V v d D s s J n F 1 b 3 Q 7 U 2 V j d G l v b j E v c G 9 i b G F j a W 9 u X 3 B v c 3 R n c m F k b y 9 U a X B v I G N h b W J p Y W R v L n t y Z W F s L D E 2 f S Z x d W 9 0 O y w m c X V v d D t T Z W N 0 a W 9 u M S 9 w b 2 J s Y W N p b 2 5 f c G 9 z d G d y Y W R v L 1 R p c G 8 g Y 2 F t Y m l h Z G 8 u e 2 R p Z m V y Z W 5 j a W E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b 2 J s Y W N p b 2 5 f c G 9 z d G d y Y W R v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v Y m x h Y 2 l v b l 9 w b 3 N 0 Z 3 J h Z G 8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9 i b G F j a W 9 u X 3 B v c 3 R n c m F k b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2 J s Y W N p b 2 5 f c G 9 z d G d y Y W R v L 0 Z p b G F z J T I w Z m l s d H J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9 i b G F j a W 9 u X 3 B y Z W d y Y W R v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v Y m x h Y 2 l v b l 9 w c m V n c m F k b y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9 i b G F j a W 9 u X 3 B y Z W d y Y W R v L 1 R p c G 8 l M j B j Y W 1 i a W F k b y U y M G N v b i U y M G N v b m Z p Z 3 V y Y W N p J U M z J U I z b i U y M H J l Z 2 l v b m F s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9 i b G F j a W 9 u X 3 B y Z W d y Y W R v L 0 Z p b G F z J T I w Z m l s d H J h Z G F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L R 0 Q Y A 4 K B F C t l O Q R 3 / j s s c A A A A A A g A A A A A A A 2 Y A A M A A A A A Q A A A A f 3 a K l K T b K i Z m 8 k b k O B 8 Q w Q A A A A A E g A A A o A A A A B A A A A B z P f x i K A v j a 0 Y q 7 v T S E T 3 w U A A A A B 4 E i Y Q J w F k T k s H Q 9 f f N s o q L u + c S j M U r / + G k r c a q h F + Y H v z v + U F 4 y J H g m / 2 7 z 4 2 + w n M M + N B H s 8 t M 7 9 e b p Y m 1 A Y 6 Y O m C 4 8 V / A O V z 4 M p F g h 6 T 6 F A A A A A 6 p 5 2 W b 1 W R 8 L O G x A / N q G J t G 1 a y i < / D a t a M a s h u p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 A 2 0 1 8 _ c d b 9 4 3 f 5 - b b b 4 - 4 3 c 4 - 9 5 b f - a 7 c 9 4 0 c c 6 0 f d 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 p o b l a c i o n _ p r e g r a d o _ 9 9 6 9 8 c 3 6 - a b e 2 - 4 a 6 d - b 4 1 c - 8 5 1 6 b 2 1 8 8 2 b 4 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1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9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0526AD6FC7A8840B0851823C83DAF52" ma:contentTypeVersion="13" ma:contentTypeDescription="Crear nuevo documento." ma:contentTypeScope="" ma:versionID="32154e72a8d475a63938600d55aed1e2">
  <xsd:schema xmlns:xsd="http://www.w3.org/2001/XMLSchema" xmlns:xs="http://www.w3.org/2001/XMLSchema" xmlns:p="http://schemas.microsoft.com/office/2006/metadata/properties" xmlns:ns2="3c77ccdd-5bfb-4b7e-8584-2ac1bc6a8e0d" xmlns:ns3="bef10091-1af6-46f5-9a31-e65cccaa0817" targetNamespace="http://schemas.microsoft.com/office/2006/metadata/properties" ma:root="true" ma:fieldsID="8117b1d5e9e399d2104f01631a07fc92" ns2:_="" ns3:_="">
    <xsd:import namespace="3c77ccdd-5bfb-4b7e-8584-2ac1bc6a8e0d"/>
    <xsd:import namespace="bef10091-1af6-46f5-9a31-e65cccaa081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77ccdd-5bfb-4b7e-8584-2ac1bc6a8e0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f10091-1af6-46f5-9a31-e65cccaa0817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0.xml>��< ? x m l   v e r s i o n = " 1 . 0 "   e n c o d i n g = " U T F - 1 6 " ? > < G e m i n i   x m l n s = " h t t p : / / g e m i n i / p i v o t c u s t o m i z a t i o n / C l i e n t W i n d o w X M L " > < C u s t o m C o n t e n t > < ! [ C D A T A [ p o b l a c i o n _ p r e g r a d o _ 9 9 6 9 8 c 3 6 - a b e 2 - 4 a 6 d - b 4 1 c - 8 5 1 6 b 2 1 8 8 2 b 4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p o b l a c i o n _ p r e g r a d o _ 9 9 6 9 8 c 3 6 - a b e 2 - 4 a 6 d - b 4 1 c - 8 5 1 6 b 2 1 8 8 2 b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 5 9 < / i n t > < / v a l u e > < / i t e m > < i t e m > < k e y > < s t r i n g > p e r i o d o < / s t r i n g > < / k e y > < v a l u e > < i n t > 8 5 < / i n t > < / v a l u e > < / i t e m > < i t e m > < k e y > < s t r i n g > s e m e s t r e < / s t r i n g > < / k e y > < v a l u e > < i n t > 9 4 < / i n t > < / v a l u e > < / i t e m > < i t e m > < k e y > < s t r i n g > d e p a r t a m e n t o _ p a d r e < / s t r i n g > < / k e y > < v a l u e > < i n t > 1 6 8 < / i n t > < / v a l u e > < / i t e m > < i t e m > < k e y > < s t r i n g > n o m b r e _ d e p a r t a m e n t o _ p a d r e < / s t r i n g > < / k e y > < v a l u e > < i n t > 2 2 4 < / i n t > < / v a l u e > < / i t e m > < i t e m > < k e y > < s t r i n g > d e p a r t a m e n t o < / s t r i n g > < / k e y > < v a l u e > < i n t > 1 2 5 < / i n t > < / v a l u e > < / i t e m > < i t e m > < k e y > < s t r i n g > n o m b r e _ d e p a r t a m e n t o _ h i j o < / s t r i n g > < / k e y > < v a l u e > < i n t > 2 1 2 < / i n t > < / v a l u e > < / i t e m > < i t e m > < k e y > < s t r i n g > n o m b r e _ t i p o _ e s t u d i a n t e < / s t r i n g > < / k e y > < v a l u e > < i n t > 1 9 0 < / i n t > < / v a l u e > < / i t e m > < i t e m > < k e y > < s t r i n g > p p t o _ n u e v o s < / s t r i n g > < / k e y > < v a l u e > < i n t > 1 1 7 < / i n t > < / v a l u e > < / i t e m > < i t e m > < k e y > < s t r i n g > p p t o _ a n t i g u o s < / s t r i n g > < / k e y > < v a l u e > < i n t > 1 2 4 < / i n t > < / v a l u e > < / i t e m > < i t e m > < k e y > < s t r i n g > r e a l _ n u e v o s < / s t r i n g > < / k e y > < v a l u e > < i n t > 1 1 2 < / i n t > < / v a l u e > < / i t e m > < i t e m > < k e y > < s t r i n g > r e a l _ a n t i g u o s < / s t r i n g > < / k e y > < v a l u e > < i n t > 1 1 9 < / i n t > < / v a l u e > < / i t e m > < i t e m > < k e y > < s t r i n g > p p t o < / s t r i n g > < / k e y > < v a l u e > < i n t > 6 5 < / i n t > < / v a l u e > < / i t e m > < i t e m > < k e y > < s t r i n g > r e a l < / s t r i n g > < / k e y > < v a l u e > < i n t > 6 0 < / i n t > < / v a l u e > < / i t e m > < i t e m > < k e y > < s t r i n g > d i f e r e n c i a < / s t r i n g > < / k e y > < v a l u e > < i n t > 9 9 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 p e r i o d o < / s t r i n g > < / k e y > < v a l u e > < i n t > 1 < / i n t > < / v a l u e > < / i t e m > < i t e m > < k e y > < s t r i n g > s e m e s t r e < / s t r i n g > < / k e y > < v a l u e > < i n t > 2 < / i n t > < / v a l u e > < / i t e m > < i t e m > < k e y > < s t r i n g > d e p a r t a m e n t o _ p a d r e < / s t r i n g > < / k e y > < v a l u e > < i n t > 3 < / i n t > < / v a l u e > < / i t e m > < i t e m > < k e y > < s t r i n g > n o m b r e _ d e p a r t a m e n t o _ p a d r e < / s t r i n g > < / k e y > < v a l u e > < i n t > 4 < / i n t > < / v a l u e > < / i t e m > < i t e m > < k e y > < s t r i n g > d e p a r t a m e n t o < / s t r i n g > < / k e y > < v a l u e > < i n t > 5 < / i n t > < / v a l u e > < / i t e m > < i t e m > < k e y > < s t r i n g > n o m b r e _ d e p a r t a m e n t o _ h i j o < / s t r i n g > < / k e y > < v a l u e > < i n t > 6 < / i n t > < / v a l u e > < / i t e m > < i t e m > < k e y > < s t r i n g > n o m b r e _ t i p o _ e s t u d i a n t e < / s t r i n g > < / k e y > < v a l u e > < i n t > 7 < / i n t > < / v a l u e > < / i t e m > < i t e m > < k e y > < s t r i n g > p p t o _ n u e v o s < / s t r i n g > < / k e y > < v a l u e > < i n t > 8 < / i n t > < / v a l u e > < / i t e m > < i t e m > < k e y > < s t r i n g > p p t o _ a n t i g u o s < / s t r i n g > < / k e y > < v a l u e > < i n t > 9 < / i n t > < / v a l u e > < / i t e m > < i t e m > < k e y > < s t r i n g > r e a l _ n u e v o s < / s t r i n g > < / k e y > < v a l u e > < i n t > 1 0 < / i n t > < / v a l u e > < / i t e m > < i t e m > < k e y > < s t r i n g > r e a l _ a n t i g u o s < / s t r i n g > < / k e y > < v a l u e > < i n t > 1 1 < / i n t > < / v a l u e > < / i t e m > < i t e m > < k e y > < s t r i n g > p p t o < / s t r i n g > < / k e y > < v a l u e > < i n t > 1 2 < / i n t > < / v a l u e > < / i t e m > < i t e m > < k e y > < s t r i n g > r e a l < / s t r i n g > < / k e y > < v a l u e > < i n t > 1 3 < / i n t > < / v a l u e > < / i t e m > < i t e m > < k e y > < s t r i n g > d i f e r e n c i a < / s t r i n g > < / k e y > < v a l u e > < i n t > 1 4 < / i n t > < / v a l u e > < / i t e m > < / C o l u m n D i s p l a y I n d e x > < C o l u m n F r o z e n   / > < C o l u m n C h e c k e d   / > < C o l u m n F i l t e r > < i t e m > < k e y > < s t r i n g > a n o < / s t r i n g > < / k e y > < v a l u e > < F i l t e r E x p r e s s i o n   x s i : n i l = " t r u e "   / > < / v a l u e > < / i t e m > < i t e m > < k e y > < s t r i n g > d e p a r t a m e n t o _ p a d r e < / s t r i n g > < / k e y > < v a l u e > < F i l t e r E x p r e s s i o n   x s i : n i l = " t r u e "   / > < / v a l u e > < / i t e m > < i t e m > < k e y > < s t r i n g > s e m e s t r e < / s t r i n g > < / k e y > < v a l u e > < F i l t e r E x p r e s s i o n   x s i : n i l = " t r u e "   / > < / v a l u e > < / i t e m > < / C o l u m n F i l t e r > < S e l e c t i o n F i l t e r > < i t e m > < k e y > < s t r i n g > a n o < / s t r i n g > < / k e y > < v a l u e > < S e l e c t i o n F i l t e r > < S e l e c t i o n T y p e > S e l e c t < / S e l e c t i o n T y p e > < I t e m s > < a n y T y p e   x s i : t y p e = " x s d : l o n g " > 2 0 2 1 < / a n y T y p e > < / I t e m s > < / S e l e c t i o n F i l t e r > < / v a l u e > < / i t e m > < i t e m > < k e y > < s t r i n g > d e p a r t a m e n t o _ p a d r e < / s t r i n g > < / k e y > < v a l u e > < S e l e c t i o n F i l t e r > < S e l e c t i o n T y p e > S e l e c t < / S e l e c t i o n T y p e > < I t e m s > < a n y T y p e   x s i : t y p e = " x s d : s t r i n g " > 3 < / a n y T y p e > < / I t e m s > < / S e l e c t i o n F i l t e r > < / v a l u e > < / i t e m > < i t e m > < k e y > < s t r i n g > s e m e s t r e < / s t r i n g > < / k e y > < v a l u e > < S e l e c t i o n F i l t e r > < S e l e c t i o n T y p e > D e s e l e c t < / S e l e c t i o n T y p e > < I t e m s > < a n y T y p e   x s i : t y p e = " x s d : l o n g " > 2 < / a n y T y p e > < / I t e m s > < / S e l e c t i o n F i l t e r > < / v a l u e > < / i t e m > < / S e l e c t i o n F i l t e r > < F i l t e r P a r a m e t e r s > < i t e m > < k e y > < s t r i n g > a n o < / s t r i n g > < / k e y > < v a l u e > < C o m m a n d P a r a m e t e r s   / > < / v a l u e > < / i t e m > < i t e m > < k e y > < s t r i n g > d e p a r t a m e n t o _ p a d r e < / s t r i n g > < / k e y > < v a l u e > < C o m m a n d P a r a m e t e r s   / > < / v a l u e > < / i t e m > < i t e m > < k e y > < s t r i n g > s e m e s t r e 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 A 2 0 1 8 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 A 2 0 1 8 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 C o l u m n s \ c u e n t a _ p p t o 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 C o l u m n s \ n o m b r e _ c u e n t a 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 C o l u m n s \ g r u p o _ c u e n t a 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 C o l u m n s \ g r u p o _ a n a l i s i s 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 C o l u m n s \ v a l o r 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 C o l u m n s \ i n f o r m a c i o n 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 C o l u m n s \ d e p a r t a m e n t o _ p a d r e 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 C o l u m n s \ d e p a r t a m e n t o _ h i j o 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 C o l u m n s \ d e p a r t a m e n t o _ j e r a r q u i a 1 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 C o l u m n s \ d e p a r t a m e n t o _ j e r a r q u i a 2 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 C o l u m n s \ n o m b r e _ d e p a r t a m e n t o _ p a d r e 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 C o l u m n s \ n u m e r o _ n i v e l 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 C o l u m n s \ n o m b r e _ d e p a r t a m e n t o _ h i j o 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 C o l u m n s \ p r o y e c t o 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 C o l u m n s \ g r u p o _ j e r a r q u i a 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 C o l u m n s \ n o m b r e _ g r u p o _ j e r a r q u i a 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 C o l u m n s \ t i p o _ c u e n t a 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 C o l u m n s \ n o m b r e _ t i p o _ c u e n t a 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 C o l u m n s \ n o m b r e _ t i p o _ u n i d a d 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 C o l u m n s \ t i p o _ p r o g r a m a 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 C o l u m n s \ n o m b r e _ t i p o _ p r o g r a m a 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 C o l u m n s \ n o m b r e _ m e t o d o l o g i a 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 C o l u m n s \ t i p o _ d e p a r t a m e n t o 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 C o l u m n s \ h o r i z o n t e 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 p o b l a c i o n _ p r e g r a d o 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 p o b l a c i o n _ p r e g r a d o 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 C o l u m n s \ p e r i o d o 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 C o l u m n s \ s e m e s t r e 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 C o l u m n s \ d e p a r t a m e n t o _ p a d r e 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 C o l u m n s \ n o m b r e _ d e p a r t a m e n t o _ p a d r e 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 C o l u m n s \ d e p a r t a m e n t o 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 C o l u m n s \ n o m b r e _ d e p a r t a m e n t o _ h i j o 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 C o l u m n s \ n o m b r e _ t i p o _ e s t u d i a n t e 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 C o l u m n s \ p p t o _ n u e v o s 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 C o l u m n s \ p p t o _ a n t i g u o s 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 C o l u m n s \ r e a l _ n u e v o s 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 C o l u m n s \ r e a l _ a n t i g u o s 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 C o l u m n s \ p p t o 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 2 0 2 1 - 0 2 - 1 5 T 1 6 : 3 5 : 5 7 . 2 7 7 3 3 9 7 - 0 5 : 0 0 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A 2 0 1 8 _ c d b 9 4 3 f 5 - b b b 4 - 4 3 c 4 - 9 5 b f - a 7 c 9 4 0 c c 6 0 f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 5 9 < / i n t > < / v a l u e > < / i t e m > < i t e m > < k e y > < s t r i n g > m e s < / s t r i n g > < / k e y > < v a l u e > < i n t > 6 2 < / i n t > < / v a l u e > < / i t e m > < i t e m > < k e y > < s t r i n g > c u e n t a _ p p t o < / s t r i n g > < / k e y > < v a l u e > < i n t > 1 1 4 < / i n t > < / v a l u e > < / i t e m > < i t e m > < k e y > < s t r i n g > n o m b r e _ c u e n t a < / s t r i n g > < / k e y > < v a l u e > < i n t > 1 3 4 < / i n t > < / v a l u e > < / i t e m > < i t e m > < k e y > < s t r i n g > g r u p o _ c u e n t a < / s t r i n g > < / k e y > < v a l u e > < i n t > 1 2 1 < / i n t > < / v a l u e > < / i t e m > < i t e m > < k e y > < s t r i n g > g r u p o _ a n a l i s i s < / s t r i n g > < / k e y > < v a l u e > < i n t > 1 2 5 < / i n t > < / v a l u e > < / i t e m > < i t e m > < k e y > < s t r i n g > v a l o r < / s t r i n g > < / k e y > < v a l u e > < i n t > 6 7 < / i n t > < / v a l u e > < / i t e m > < i t e m > < k e y > < s t r i n g > i n f o r m a c i o n < / s t r i n g > < / k e y > < v a l u e > < i n t > 1 1 1 < / i n t > < / v a l u e > < / i t e m > < i t e m > < k e y > < s t r i n g > d e p a r t a m e n t o _ p a d r e < / s t r i n g > < / k e y > < v a l u e > < i n t > 1 6 8 < / i n t > < / v a l u e > < / i t e m > < i t e m > < k e y > < s t r i n g > d e p a r t a m e n t o _ h i j o < / s t r i n g > < / k e y > < v a l u e > < i n t > 1 5 6 < / i n t > < / v a l u e > < / i t e m > < i t e m > < k e y > < s t r i n g > d e p a r t a m e n t o _ j e r a r q u i a 1 < / s t r i n g > < / k e y > < v a l u e > < i n t > 1 9 5 < / i n t > < / v a l u e > < / i t e m > < i t e m > < k e y > < s t r i n g > d e p a r t a m e n t o _ j e r a r q u i a 2 < / s t r i n g > < / k e y > < v a l u e > < i n t > 1 9 5 < / i n t > < / v a l u e > < / i t e m > < i t e m > < k e y > < s t r i n g > n o m b r e _ d e p a r t a m e n t o _ p a d r e < / s t r i n g > < / k e y > < v a l u e > < i n t > 2 2 4 < / i n t > < / v a l u e > < / i t e m > < i t e m > < k e y > < s t r i n g > n u m e r o _ n i v e l < / s t r i n g > < / k e y > < v a l u e > < i n t > 1 2 3 < / i n t > < / v a l u e > < / i t e m > < i t e m > < k e y > < s t r i n g > n o m b r e _ d e p a r t a m e n t o _ h i j o < / s t r i n g > < / k e y > < v a l u e > < i n t > 2 1 2 < / i n t > < / v a l u e > < / i t e m > < i t e m > < k e y > < s t r i n g > p r o y e c t o < / s t r i n g > < / k e y > < v a l u e > < i n t > 9 1 < / i n t > < / v a l u e > < / i t e m > < i t e m > < k e y > < s t r i n g > g r u p o _ j e r a r q u i a < / s t r i n g > < / k e y > < v a l u e > < i n t > 1 3 5 < / i n t > < / v a l u e > < / i t e m > < i t e m > < k e y > < s t r i n g > n o m b r e _ g r u p o _ j e r a r q u i a < / s t r i n g > < / k e y > < v a l u e > < i n t > 1 9 1 < / i n t > < / v a l u e > < / i t e m > < i t e m > < k e y > < s t r i n g > t i p o _ c u e n t a < / s t r i n g > < / k e y > < v a l u e > < i n t > 1 0 9 < / i n t > < / v a l u e > < / i t e m > < i t e m > < k e y > < s t r i n g > n o m b r e _ t i p o _ c u e n t a < / s t r i n g > < / k e y > < v a l u e > < i n t > 1 6 5 < / i n t > < / v a l u e > < / i t e m > < i t e m > < k e y > < s t r i n g > t i p o _ u n i d a d < / s t r i n g > < / k e y > < v a l u e > < i n t > 1 1 0 < / i n t > < / v a l u e > < / i t e m > < i t e m > < k e y > < s t r i n g > n o m b r e _ t i p o _ u n i d a d < / s t r i n g > < / k e y > < v a l u e > < i n t > 1 6 6 < / i n t > < / v a l u e > < / i t e m > < i t e m > < k e y > < s t r i n g > t i p o _ p r o g r a m a < / s t r i n g > < / k e y > < v a l u e > < i n t > 1 2 6 < / i n t > < / v a l u e > < / i t e m > < i t e m > < k e y > < s t r i n g > n o m b r e _ t i p o _ p r o g r a m a < / s t r i n g > < / k e y > < v a l u e > < i n t > 1 8 2 < / i n t > < / v a l u e > < / i t e m > < i t e m > < k e y > < s t r i n g > n o m b r e _ m e t o d o l o g i a < / s t r i n g > < / k e y > < v a l u e > < i n t > 1 7 1 < / i n t > < / v a l u e > < / i t e m > < i t e m > < k e y > < s t r i n g > t i p o _ d e p a r t a m e n t o < / s t r i n g > < / k e y > < v a l u e > < i n t > 1 5 6 < / i n t > < / v a l u e > < / i t e m > < i t e m > < k e y > < s t r i n g > h o r i z o n t e < / s t r i n g > < / k e y > < v a l u e > < i n t > 9 6 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 c u e n t a _ p p t o < / s t r i n g > < / k e y > < v a l u e > < i n t > 2 < / i n t > < / v a l u e > < / i t e m > < i t e m > < k e y > < s t r i n g > n o m b r e _ c u e n t a < / s t r i n g > < / k e y > < v a l u e > < i n t > 3 < / i n t > < / v a l u e > < / i t e m > < i t e m > < k e y > < s t r i n g > g r u p o _ c u e n t a < / s t r i n g > < / k e y > < v a l u e > < i n t > 4 < / i n t > < / v a l u e > < / i t e m > < i t e m > < k e y > < s t r i n g > g r u p o _ a n a l i s i s < / s t r i n g > < / k e y > < v a l u e > < i n t > 5 < / i n t > < / v a l u e > < / i t e m > < i t e m > < k e y > < s t r i n g > v a l o r < / s t r i n g > < / k e y > < v a l u e > < i n t > 6 < / i n t > < / v a l u e > < / i t e m > < i t e m > < k e y > < s t r i n g > i n f o r m a c i o n < / s t r i n g > < / k e y > < v a l u e > < i n t > 7 < / i n t > < / v a l u e > < / i t e m > < i t e m > < k e y > < s t r i n g > d e p a r t a m e n t o _ p a d r e < / s t r i n g > < / k e y > < v a l u e > < i n t > 8 < / i n t > < / v a l u e > < / i t e m > < i t e m > < k e y > < s t r i n g > d e p a r t a m e n t o _ h i j o < / s t r i n g > < / k e y > < v a l u e > < i n t > 9 < / i n t > < / v a l u e > < / i t e m > < i t e m > < k e y > < s t r i n g > d e p a r t a m e n t o _ j e r a r q u i a 1 < / s t r i n g > < / k e y > < v a l u e > < i n t > 1 0 < / i n t > < / v a l u e > < / i t e m > < i t e m > < k e y > < s t r i n g > d e p a r t a m e n t o _ j e r a r q u i a 2 < / s t r i n g > < / k e y > < v a l u e > < i n t > 1 1 < / i n t > < / v a l u e > < / i t e m > < i t e m > < k e y > < s t r i n g > n o m b r e _ d e p a r t a m e n t o _ p a d r e < / s t r i n g > < / k e y > < v a l u e > < i n t > 1 2 < / i n t > < / v a l u e > < / i t e m > < i t e m > < k e y > < s t r i n g > n u m e r o _ n i v e l < / s t r i n g > < / k e y > < v a l u e > < i n t > 1 3 < / i n t > < / v a l u e > < / i t e m > < i t e m > < k e y > < s t r i n g > n o m b r e _ d e p a r t a m e n t o _ h i j o < / s t r i n g > < / k e y > < v a l u e > < i n t > 1 4 < / i n t > < / v a l u e > < / i t e m > < i t e m > < k e y > < s t r i n g > p r o y e c t o < / s t r i n g > < / k e y > < v a l u e > < i n t > 1 5 < / i n t > < / v a l u e > < / i t e m > < i t e m > < k e y > < s t r i n g > g r u p o _ j e r a r q u i a < / s t r i n g > < / k e y > < v a l u e > < i n t > 1 6 < / i n t > < / v a l u e > < / i t e m > < i t e m > < k e y > < s t r i n g > n o m b r e _ g r u p o _ j e r a r q u i a < / s t r i n g > < / k e y > < v a l u e > < i n t > 1 7 < / i n t > < / v a l u e > < / i t e m > < i t e m > < k e y > < s t r i n g > t i p o _ c u e n t a < / s t r i n g > < / k e y > < v a l u e > < i n t > 1 8 < / i n t > < / v a l u e > < / i t e m > < i t e m > < k e y > < s t r i n g > n o m b r e _ t i p o _ c u e n t a < / s t r i n g > < / k e y > < v a l u e > < i n t > 1 9 < / i n t > < / v a l u e > < / i t e m > < i t e m > < k e y > < s t r i n g > t i p o _ u n i d a d < / s t r i n g > < / k e y > < v a l u e > < i n t > 2 0 < / i n t > < / v a l u e > < / i t e m > < i t e m > < k e y > < s t r i n g > n o m b r e _ t i p o _ u n i d a d < / s t r i n g > < / k e y > < v a l u e > < i n t > 2 1 < / i n t > < / v a l u e > < / i t e m > < i t e m > < k e y > < s t r i n g > t i p o _ p r o g r a m a < / s t r i n g > < / k e y > < v a l u e > < i n t > 2 2 < / i n t > < / v a l u e > < / i t e m > < i t e m > < k e y > < s t r i n g > n o m b r e _ t i p o _ p r o g r a m a < / s t r i n g > < / k e y > < v a l u e > < i n t > 2 3 < / i n t > < / v a l u e > < / i t e m > < i t e m > < k e y > < s t r i n g > n o m b r e _ m e t o d o l o g i a < / s t r i n g > < / k e y > < v a l u e > < i n t > 2 4 < / i n t > < / v a l u e > < / i t e m > < i t e m > < k e y > < s t r i n g > t i p o _ d e p a r t a m e n t o < / s t r i n g > < / k e y > < v a l u e > < i n t > 2 5 < / i n t > < / v a l u e > < / i t e m > < i t e m > < k e y > < s t r i n g > h o r i z o n t e < / s t r i n g > < / k e y > < v a l u e > < i n t > 2 6 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 A 2 0 1 8 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 A 2 0 1 8 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 C o l u m n s \ a n o < / K e y > < / D i a g r a m O b j e c t K e y > < D i a g r a m O b j e c t K e y > < K e y > C o l u m n s \ m e s < / K e y > < / D i a g r a m O b j e c t K e y > < D i a g r a m O b j e c t K e y > < K e y > C o l u m n s \ c u e n t a _ p p t o < / K e y > < / D i a g r a m O b j e c t K e y > < D i a g r a m O b j e c t K e y > < K e y > C o l u m n s \ n o m b r e _ c u e n t a < / K e y > < / D i a g r a m O b j e c t K e y > < D i a g r a m O b j e c t K e y > < K e y > C o l u m n s \ g r u p o _ c u e n t a < / K e y > < / D i a g r a m O b j e c t K e y > < D i a g r a m O b j e c t K e y > < K e y > C o l u m n s \ g r u p o _ a n a l i s i s < / K e y > < / D i a g r a m O b j e c t K e y > < D i a g r a m O b j e c t K e y > < K e y > C o l u m n s \ v a l o r < / K e y > < / D i a g r a m O b j e c t K e y > < D i a g r a m O b j e c t K e y > < K e y > C o l u m n s \ i n f o r m a c i o n < / K e y > < / D i a g r a m O b j e c t K e y > < D i a g r a m O b j e c t K e y > < K e y > C o l u m n s \ d e p a r t a m e n t o _ p a d r e < / K e y > < / D i a g r a m O b j e c t K e y > < D i a g r a m O b j e c t K e y > < K e y > C o l u m n s \ d e p a r t a m e n t o _ h i j o < / K e y > < / D i a g r a m O b j e c t K e y > < D i a g r a m O b j e c t K e y > < K e y > C o l u m n s \ d e p a r t a m e n t o _ j e r a r q u i a 1 < / K e y > < / D i a g r a m O b j e c t K e y > < D i a g r a m O b j e c t K e y > < K e y > C o l u m n s \ d e p a r t a m e n t o _ j e r a r q u i a 2 < / K e y > < / D i a g r a m O b j e c t K e y > < D i a g r a m O b j e c t K e y > < K e y > C o l u m n s \ n o m b r e _ d e p a r t a m e n t o _ p a d r e < / K e y > < / D i a g r a m O b j e c t K e y > < D i a g r a m O b j e c t K e y > < K e y > C o l u m n s \ n u m e r o _ n i v e l < / K e y > < / D i a g r a m O b j e c t K e y > < D i a g r a m O b j e c t K e y > < K e y > C o l u m n s \ n o m b r e _ d e p a r t a m e n t o _ h i j o < / K e y > < / D i a g r a m O b j e c t K e y > < D i a g r a m O b j e c t K e y > < K e y > C o l u m n s \ p r o y e c t o < / K e y > < / D i a g r a m O b j e c t K e y > < D i a g r a m O b j e c t K e y > < K e y > C o l u m n s \ g r u p o _ j e r a r q u i a < / K e y > < / D i a g r a m O b j e c t K e y > < D i a g r a m O b j e c t K e y > < K e y > C o l u m n s \ n o m b r e _ g r u p o _ j e r a r q u i a < / K e y > < / D i a g r a m O b j e c t K e y > < D i a g r a m O b j e c t K e y > < K e y > C o l u m n s \ t i p o _ c u e n t a < / K e y > < / D i a g r a m O b j e c t K e y > < D i a g r a m O b j e c t K e y > < K e y > C o l u m n s \ n o m b r e _ t i p o _ c u e n t a < / K e y > < / D i a g r a m O b j e c t K e y > < D i a g r a m O b j e c t K e y > < K e y > C o l u m n s \ t i p o _ u n i d a d < / K e y > < / D i a g r a m O b j e c t K e y > < D i a g r a m O b j e c t K e y > < K e y > C o l u m n s \ n o m b r e _ t i p o _ u n i d a d < / K e y > < / D i a g r a m O b j e c t K e y > < D i a g r a m O b j e c t K e y > < K e y > C o l u m n s \ t i p o _ p r o g r a m a < / K e y > < / D i a g r a m O b j e c t K e y > < D i a g r a m O b j e c t K e y > < K e y > C o l u m n s \ n o m b r e _ t i p o _ p r o g r a m a < / K e y > < / D i a g r a m O b j e c t K e y > < D i a g r a m O b j e c t K e y > < K e y > C o l u m n s \ n o m b r e _ m e t o d o l o g i a < / K e y > < / D i a g r a m O b j e c t K e y > < D i a g r a m O b j e c t K e y > < K e y > C o l u m n s \ t i p o _ d e p a r t a m e n t o < / K e y > < / D i a g r a m O b j e c t K e y > < D i a g r a m O b j e c t K e y > < K e y > C o l u m n s \ h o r i z o n t e 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 C o l u m n s \ a n o 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 C o l u m n s \ c u e n t a _ p p t o 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 C o l u m n s \ n o m b r e _ c u e n t a 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 C o l u m n s \ g r u p o _ c u e n t a 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 C o l u m n s \ g r u p o _ a n a l i s i s 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 C o l u m n s \ v a l o r 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 C o l u m n s \ i n f o r m a c i o n 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 C o l u m n s \ d e p a r t a m e n t o _ p a d r e 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 C o l u m n s \ d e p a r t a m e n t o _ h i j o 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 C o l u m n s \ d e p a r t a m e n t o _ j e r a r q u i a 1 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 C o l u m n s \ d e p a r t a m e n t o _ j e r a r q u i a 2 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 C o l u m n s \ n o m b r e _ d e p a r t a m e n t o _ p a d r e 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 C o l u m n s \ n u m e r o _ n i v e l 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 C o l u m n s \ n o m b r e _ d e p a r t a m e n t o _ h i j o 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 C o l u m n s \ p r o y e c t o 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 C o l u m n s \ g r u p o _ j e r a r q u i a 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 C o l u m n s \ n o m b r e _ g r u p o _ j e r a r q u i a 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 C o l u m n s \ t i p o _ c u e n t a 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 C o l u m n s \ n o m b r e _ t i p o _ c u e n t a 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 C o l u m n s \ t i p o _ u n i d a d 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 C o l u m n s \ n o m b r e _ t i p o _ u n i d a d 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 C o l u m n s \ t i p o _ p r o g r a m a 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 C o l u m n s \ n o m b r e _ t i p o _ p r o g r a m a 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 C o l u m n s \ n o m b r e _ m e t o d o l o g i a 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 C o l u m n s \ t i p o _ d e p a r t a m e n t o 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 C o l u m n s \ h o r i z o n t e 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 p o b l a c i o n _ p r e g r a d o 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 p o b l a c i o n _ p r e g r a d o 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 r e a l < / K e y > < / D i a g r a m O b j e c t K e y > < D i a g r a m O b j e c t K e y > < K e y > M e a s u r e s \ S u m a   d e   r e a l \ T a g I n f o \ F � r m u l a < / K e y > < / D i a g r a m O b j e c t K e y > < D i a g r a m O b j e c t K e y > < K e y > M e a s u r e s \ S u m a   d e   r e a l \ T a g I n f o \ V a l o r < / K e y > < / D i a g r a m O b j e c t K e y > < D i a g r a m O b j e c t K e y > < K e y > M e a s u r e s \ S u m a   d e   r e a l _ n u e v o s < / K e y > < / D i a g r a m O b j e c t K e y > < D i a g r a m O b j e c t K e y > < K e y > M e a s u r e s \ S u m a   d e   r e a l _ n u e v o s \ T a g I n f o \ F � r m u l a < / K e y > < / D i a g r a m O b j e c t K e y > < D i a g r a m O b j e c t K e y > < K e y > M e a s u r e s \ S u m a   d e   r e a l _ n u e v o s \ T a g I n f o \ V a l o r < / K e y > < / D i a g r a m O b j e c t K e y > < D i a g r a m O b j e c t K e y > < K e y > M e a s u r e s \ S u m a   d e   r e a l _ a n t i g u o s < / K e y > < / D i a g r a m O b j e c t K e y > < D i a g r a m O b j e c t K e y > < K e y > M e a s u r e s \ S u m a   d e   r e a l _ a n t i g u o s \ T a g I n f o \ F � r m u l a < / K e y > < / D i a g r a m O b j e c t K e y > < D i a g r a m O b j e c t K e y > < K e y > M e a s u r e s \ S u m a   d e   r e a l _ a n t i g u o s \ T a g I n f o \ V a l o r < / K e y > < / D i a g r a m O b j e c t K e y > < D i a g r a m O b j e c t K e y > < K e y > C o l u m n s \ a n o < / K e y > < / D i a g r a m O b j e c t K e y > < D i a g r a m O b j e c t K e y > < K e y > C o l u m n s \ p e r i o d o < / K e y > < / D i a g r a m O b j e c t K e y > < D i a g r a m O b j e c t K e y > < K e y > C o l u m n s \ s e m e s t r e < / K e y > < / D i a g r a m O b j e c t K e y > < D i a g r a m O b j e c t K e y > < K e y > C o l u m n s \ d e p a r t a m e n t o _ p a d r e < / K e y > < / D i a g r a m O b j e c t K e y > < D i a g r a m O b j e c t K e y > < K e y > C o l u m n s \ n o m b r e _ d e p a r t a m e n t o _ p a d r e < / K e y > < / D i a g r a m O b j e c t K e y > < D i a g r a m O b j e c t K e y > < K e y > C o l u m n s \ d e p a r t a m e n t o < / K e y > < / D i a g r a m O b j e c t K e y > < D i a g r a m O b j e c t K e y > < K e y > C o l u m n s \ n o m b r e _ d e p a r t a m e n t o _ h i j o < / K e y > < / D i a g r a m O b j e c t K e y > < D i a g r a m O b j e c t K e y > < K e y > C o l u m n s \ n o m b r e _ t i p o _ e s t u d i a n t e < / K e y > < / D i a g r a m O b j e c t K e y > < D i a g r a m O b j e c t K e y > < K e y > C o l u m n s \ p p t o _ n u e v o s < / K e y > < / D i a g r a m O b j e c t K e y > < D i a g r a m O b j e c t K e y > < K e y > C o l u m n s \ p p t o _ a n t i g u o s < / K e y > < / D i a g r a m O b j e c t K e y > < D i a g r a m O b j e c t K e y > < K e y > C o l u m n s \ r e a l _ n u e v o s < / K e y > < / D i a g r a m O b j e c t K e y > < D i a g r a m O b j e c t K e y > < K e y > C o l u m n s \ r e a l _ a n t i g u o s < / K e y > < / D i a g r a m O b j e c t K e y > < D i a g r a m O b j e c t K e y > < K e y > C o l u m n s \ p p t o < / K e y > < / D i a g r a m O b j e c t K e y > < D i a g r a m O b j e c t K e y > < K e y > C o l u m n s \ r e a l < / K e y > < / D i a g r a m O b j e c t K e y > < D i a g r a m O b j e c t K e y > < K e y > C o l u m n s \ d i f e r e n c i a < / K e y > < / D i a g r a m O b j e c t K e y > < D i a g r a m O b j e c t K e y > < K e y > L i n k s \ & l t ; C o l u m n s \ S u m a   d e   r e a l & g t ; - & l t ; M e a s u r e s \ r e a l & g t ; < / K e y > < / D i a g r a m O b j e c t K e y > < D i a g r a m O b j e c t K e y > < K e y > L i n k s \ & l t ; C o l u m n s \ S u m a   d e   r e a l & g t ; - & l t ; M e a s u r e s \ r e a l & g t ; \ C O L U M N < / K e y > < / D i a g r a m O b j e c t K e y > < D i a g r a m O b j e c t K e y > < K e y > L i n k s \ & l t ; C o l u m n s \ S u m a   d e   r e a l & g t ; - & l t ; M e a s u r e s \ r e a l & g t ; \ M E A S U R E < / K e y > < / D i a g r a m O b j e c t K e y > < D i a g r a m O b j e c t K e y > < K e y > L i n k s \ & l t ; C o l u m n s \ S u m a   d e   r e a l _ n u e v o s & g t ; - & l t ; M e a s u r e s \ r e a l _ n u e v o s & g t ; < / K e y > < / D i a g r a m O b j e c t K e y > < D i a g r a m O b j e c t K e y > < K e y > L i n k s \ & l t ; C o l u m n s \ S u m a   d e   r e a l _ n u e v o s & g t ; - & l t ; M e a s u r e s \ r e a l _ n u e v o s & g t ; \ C O L U M N < / K e y > < / D i a g r a m O b j e c t K e y > < D i a g r a m O b j e c t K e y > < K e y > L i n k s \ & l t ; C o l u m n s \ S u m a   d e   r e a l _ n u e v o s & g t ; - & l t ; M e a s u r e s \ r e a l _ n u e v o s & g t ; \ M E A S U R E < / K e y > < / D i a g r a m O b j e c t K e y > < D i a g r a m O b j e c t K e y > < K e y > L i n k s \ & l t ; C o l u m n s \ S u m a   d e   r e a l _ a n t i g u o s & g t ; - & l t ; M e a s u r e s \ r e a l _ a n t i g u o s & g t ; < / K e y > < / D i a g r a m O b j e c t K e y > < D i a g r a m O b j e c t K e y > < K e y > L i n k s \ & l t ; C o l u m n s \ S u m a   d e   r e a l _ a n t i g u o s & g t ; - & l t ; M e a s u r e s \ r e a l _ a n t i g u o s & g t ; \ C O L U M N < / K e y > < / D i a g r a m O b j e c t K e y > < D i a g r a m O b j e c t K e y > < K e y > L i n k s \ & l t ; C o l u m n s \ S u m a   d e   r e a l _ a n t i g u o s & g t ; - & l t ; M e a s u r e s \ r e a l _ a n t i g u o s & g t ; \ M E A S U R E 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 r e a l < / K e y > < / a : K e y > < a : V a l u e   i : t y p e = " M e a s u r e G r i d N o d e V i e w S t a t e " > < C o l u m n > 1 3 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 r e a l \ T a g I n f o \ F � r m u l a 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 r e a l \ T a g I n f o \ V a l o r 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 r e a l _ n u e v o s 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 r e a l _ n u e v o s \ T a g I n f o \ F � r m u l a 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 r e a l _ n u e v o s \ T a g I n f o \ V a l o r 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 r e a l _ a n t i g u o s 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 r e a l _ a n t i g u o s \ T a g I n f o \ F � r m u l a 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 r e a l _ a n t i g u o s \ T a g I n f o \ V a l o r 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 C o l u m n s \ a n o 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 C o l u m n s \ p e r i o d o 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 C o l u m n s \ s e m e s t r e 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 C o l u m n s \ d e p a r t a m e n t o _ p a d r e 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 C o l u m n s \ n o m b r e _ d e p a r t a m e n t o _ p a d r e 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 C o l u m n s \ d e p a r t a m e n t o 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 C o l u m n s \ n o m b r e _ d e p a r t a m e n t o _ h i j o 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 C o l u m n s \ n o m b r e _ t i p o _ e s t u d i a n t e 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 C o l u m n s \ p p t o _ n u e v o s 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 C o l u m n s \ p p t o _ a n t i g u o s 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 C o l u m n s \ r e a l _ n u e v o s 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 C o l u m n s \ r e a l _ a n t i g u o s 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 C o l u m n s \ p p t o 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 C o l u m n s \ r e a l 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 C o l u m n s \ d i f e r e n c i a 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 r e a l & g t ; - & l t ; M e a s u r e s \ r e a l & g t ; 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 r e a l & g t ; - & l t ; M e a s u r e s \ r e a l & g t ; \ C O L U M N 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 r e a l & g t ; - & l t ; M e a s u r e s \ r e a l & g t ; \ M E A S U R E 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 r e a l _ n u e v o s & g t ; - & l t ; M e a s u r e s \ r e a l _ n u e v o s & g t ; 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 r e a l _ n u e v o s & g t ; - & l t ; M e a s u r e s \ r e a l _ n u e v o s & g t ; \ C O L U M N 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 r e a l _ n u e v o s & g t ; - & l t ; M e a s u r e s \ r e a l _ n u e v o s & g t ; \ M E A S U R E 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 r e a l _ a n t i g u o s & g t ; - & l t ; M e a s u r e s \ r e a l _ a n t i g u o s & g t ; 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 r e a l _ a n t i g u o s & g t ; - & l t ; M e a s u r e s \ r e a l _ a n t i g u o s & g t ; \ C O L U M N 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 r e a l _ a n t i g u o s & g t ; - & l t ; M e a s u r e s \ r e a l _ a n t i g u o s & g t ; \ M E A S U R E 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Props1.xml><?xml version="1.0" encoding="utf-8"?>
<ds:datastoreItem xmlns:ds="http://schemas.openxmlformats.org/officeDocument/2006/customXml" ds:itemID="{ABC0A63F-2058-4B36-81DE-6A6D4B34A8D2}">
  <ds:schemaRefs/>
</ds:datastoreItem>
</file>

<file path=customXml/itemProps10.xml><?xml version="1.0" encoding="utf-8"?>
<ds:datastoreItem xmlns:ds="http://schemas.openxmlformats.org/officeDocument/2006/customXml" ds:itemID="{AE59E0D2-ABC7-4F53-9C2E-C84BE86BF0AD}">
  <ds:schemaRefs>
    <ds:schemaRef ds:uri="http://schemas.microsoft.com/DataMashup"/>
  </ds:schemaRefs>
</ds:datastoreItem>
</file>

<file path=customXml/itemProps11.xml><?xml version="1.0" encoding="utf-8"?>
<ds:datastoreItem xmlns:ds="http://schemas.openxmlformats.org/officeDocument/2006/customXml" ds:itemID="{6F16EC33-B83D-49AB-8928-7E0CF661CB7C}">
  <ds:schemaRefs/>
</ds:datastoreItem>
</file>

<file path=customXml/itemProps12.xml><?xml version="1.0" encoding="utf-8"?>
<ds:datastoreItem xmlns:ds="http://schemas.openxmlformats.org/officeDocument/2006/customXml" ds:itemID="{A4949CBD-D522-4342-AC03-B3DACB19E776}">
  <ds:schemaRefs/>
</ds:datastoreItem>
</file>

<file path=customXml/itemProps13.xml><?xml version="1.0" encoding="utf-8"?>
<ds:datastoreItem xmlns:ds="http://schemas.openxmlformats.org/officeDocument/2006/customXml" ds:itemID="{A326752D-7D07-4F70-A079-4F6D40A4A27F}">
  <ds:schemaRefs/>
</ds:datastoreItem>
</file>

<file path=customXml/itemProps14.xml><?xml version="1.0" encoding="utf-8"?>
<ds:datastoreItem xmlns:ds="http://schemas.openxmlformats.org/officeDocument/2006/customXml" ds:itemID="{92AE3320-B8ED-4F08-B28A-F631CB5A4871}">
  <ds:schemaRefs/>
</ds:datastoreItem>
</file>

<file path=customXml/itemProps15.xml><?xml version="1.0" encoding="utf-8"?>
<ds:datastoreItem xmlns:ds="http://schemas.openxmlformats.org/officeDocument/2006/customXml" ds:itemID="{3F8A6366-FDD3-40A8-B2D0-0C1F0C23A2D5}">
  <ds:schemaRefs>
    <ds:schemaRef ds:uri="http://www.w3.org/XML/1998/namespace"/>
    <ds:schemaRef ds:uri="http://schemas.microsoft.com/office/2006/documentManagement/types"/>
    <ds:schemaRef ds:uri="bef10091-1af6-46f5-9a31-e65cccaa0817"/>
    <ds:schemaRef ds:uri="http://schemas.microsoft.com/office/infopath/2007/PartnerControls"/>
    <ds:schemaRef ds:uri="3c77ccdd-5bfb-4b7e-8584-2ac1bc6a8e0d"/>
    <ds:schemaRef ds:uri="http://purl.org/dc/terms/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</ds:schemaRefs>
</ds:datastoreItem>
</file>

<file path=customXml/itemProps16.xml><?xml version="1.0" encoding="utf-8"?>
<ds:datastoreItem xmlns:ds="http://schemas.openxmlformats.org/officeDocument/2006/customXml" ds:itemID="{BC749F07-CC3A-4C7B-BD33-73804CEE99B5}">
  <ds:schemaRefs/>
</ds:datastoreItem>
</file>

<file path=customXml/itemProps17.xml><?xml version="1.0" encoding="utf-8"?>
<ds:datastoreItem xmlns:ds="http://schemas.openxmlformats.org/officeDocument/2006/customXml" ds:itemID="{7D083D95-93CF-4E97-8E8A-A3BD18EAB29F}">
  <ds:schemaRefs/>
</ds:datastoreItem>
</file>

<file path=customXml/itemProps18.xml><?xml version="1.0" encoding="utf-8"?>
<ds:datastoreItem xmlns:ds="http://schemas.openxmlformats.org/officeDocument/2006/customXml" ds:itemID="{23697925-F622-4F28-9773-0D384A81E07F}">
  <ds:schemaRefs/>
</ds:datastoreItem>
</file>

<file path=customXml/itemProps19.xml><?xml version="1.0" encoding="utf-8"?>
<ds:datastoreItem xmlns:ds="http://schemas.openxmlformats.org/officeDocument/2006/customXml" ds:itemID="{A4AC4919-31E5-4860-B914-694BC43A16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77ccdd-5bfb-4b7e-8584-2ac1bc6a8e0d"/>
    <ds:schemaRef ds:uri="bef10091-1af6-46f5-9a31-e65cccaa081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5C8FA92-2DCF-434D-B189-B6173B171D0D}">
  <ds:schemaRefs>
    <ds:schemaRef ds:uri="http://schemas.microsoft.com/sharepoint/v3/contenttype/forms"/>
  </ds:schemaRefs>
</ds:datastoreItem>
</file>

<file path=customXml/itemProps20.xml><?xml version="1.0" encoding="utf-8"?>
<ds:datastoreItem xmlns:ds="http://schemas.openxmlformats.org/officeDocument/2006/customXml" ds:itemID="{82DC99A8-5813-4C0C-B0FB-52FF10BB123D}">
  <ds:schemaRefs/>
</ds:datastoreItem>
</file>

<file path=customXml/itemProps21.xml><?xml version="1.0" encoding="utf-8"?>
<ds:datastoreItem xmlns:ds="http://schemas.openxmlformats.org/officeDocument/2006/customXml" ds:itemID="{5FBB569E-773A-4FDE-935F-4CE663AA3FED}">
  <ds:schemaRefs/>
</ds:datastoreItem>
</file>

<file path=customXml/itemProps3.xml><?xml version="1.0" encoding="utf-8"?>
<ds:datastoreItem xmlns:ds="http://schemas.openxmlformats.org/officeDocument/2006/customXml" ds:itemID="{40EC620D-AC6F-4AC6-B5D5-675DF8F2CADD}">
  <ds:schemaRefs/>
</ds:datastoreItem>
</file>

<file path=customXml/itemProps4.xml><?xml version="1.0" encoding="utf-8"?>
<ds:datastoreItem xmlns:ds="http://schemas.openxmlformats.org/officeDocument/2006/customXml" ds:itemID="{13652443-F7CA-4240-80C0-273A066667CF}">
  <ds:schemaRefs/>
</ds:datastoreItem>
</file>

<file path=customXml/itemProps5.xml><?xml version="1.0" encoding="utf-8"?>
<ds:datastoreItem xmlns:ds="http://schemas.openxmlformats.org/officeDocument/2006/customXml" ds:itemID="{725E045E-4D4C-4CA2-9067-4CA777452870}">
  <ds:schemaRefs/>
</ds:datastoreItem>
</file>

<file path=customXml/itemProps6.xml><?xml version="1.0" encoding="utf-8"?>
<ds:datastoreItem xmlns:ds="http://schemas.openxmlformats.org/officeDocument/2006/customXml" ds:itemID="{31D08684-C326-4D48-80DE-85177C4C577B}">
  <ds:schemaRefs/>
</ds:datastoreItem>
</file>

<file path=customXml/itemProps7.xml><?xml version="1.0" encoding="utf-8"?>
<ds:datastoreItem xmlns:ds="http://schemas.openxmlformats.org/officeDocument/2006/customXml" ds:itemID="{043E0291-E097-4644-9344-CF83AF8FF886}">
  <ds:schemaRefs/>
</ds:datastoreItem>
</file>

<file path=customXml/itemProps8.xml><?xml version="1.0" encoding="utf-8"?>
<ds:datastoreItem xmlns:ds="http://schemas.openxmlformats.org/officeDocument/2006/customXml" ds:itemID="{0C9C17BE-3762-4F6F-A042-A3A2EBC418D7}">
  <ds:schemaRefs/>
</ds:datastoreItem>
</file>

<file path=customXml/itemProps9.xml><?xml version="1.0" encoding="utf-8"?>
<ds:datastoreItem xmlns:ds="http://schemas.openxmlformats.org/officeDocument/2006/customXml" ds:itemID="{61AC555E-A1AB-45DF-85C5-A0D01B76CA1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</vt:i4>
      </vt:variant>
    </vt:vector>
  </HeadingPairs>
  <TitlesOfParts>
    <vt:vector size="21" baseType="lpstr">
      <vt:lpstr>Ppto Innovación</vt:lpstr>
      <vt:lpstr>poblacion</vt:lpstr>
      <vt:lpstr>dashboard</vt:lpstr>
      <vt:lpstr>Hoja1</vt:lpstr>
      <vt:lpstr>Hoja2</vt:lpstr>
      <vt:lpstr>modelo</vt:lpstr>
      <vt:lpstr>Hoja3</vt:lpstr>
      <vt:lpstr>A-0</vt:lpstr>
      <vt:lpstr>Cálculos</vt:lpstr>
      <vt:lpstr>Hoja4</vt:lpstr>
      <vt:lpstr>A-3</vt:lpstr>
      <vt:lpstr>A-2</vt:lpstr>
      <vt:lpstr>A-1</vt:lpstr>
      <vt:lpstr>TABLA_HOMOLOGACION</vt:lpstr>
      <vt:lpstr>Agrupaciones</vt:lpstr>
      <vt:lpstr>p_pregrado</vt:lpstr>
      <vt:lpstr>p_postgrado</vt:lpstr>
      <vt:lpstr>departamentos</vt:lpstr>
      <vt:lpstr>base</vt:lpstr>
      <vt:lpstr>variables</vt:lpstr>
      <vt:lpstr>fpe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Alberto Ceballos Gutierrez</dc:creator>
  <cp:lastModifiedBy>Maria del Carmen Docal Millan</cp:lastModifiedBy>
  <dcterms:created xsi:type="dcterms:W3CDTF">2021-02-03T13:42:38Z</dcterms:created>
  <dcterms:modified xsi:type="dcterms:W3CDTF">2022-02-21T17:42:33Z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0x01010040526AD6FC7A8840B0851823C83DAF52</vt:lpwstr>
  </property>
</Properties>
</file>